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shley.kennedy\OneDrive - US Navy-flankspeed\Desktop\"/>
    </mc:Choice>
  </mc:AlternateContent>
  <xr:revisionPtr revIDLastSave="0" documentId="13_ncr:1_{9A1CE019-12B0-4E82-A799-929D35A28FDB}" xr6:coauthVersionLast="47" xr6:coauthVersionMax="47" xr10:uidLastSave="{00000000-0000-0000-0000-000000000000}"/>
  <bookViews>
    <workbookView xWindow="-28920" yWindow="90" windowWidth="29040" windowHeight="15630" tabRatio="693" xr2:uid="{85C2226C-F6D4-42AE-8EE3-91AF1567E2E6}"/>
  </bookViews>
  <sheets>
    <sheet name="PUC Calculations FY2024" sheetId="3" r:id="rId1"/>
    <sheet name="FY2024 MILCON Inflation Table" sheetId="4" r:id="rId2"/>
    <sheet name="Mil Cost Premiums for PUCs" sheetId="17" r:id="rId3"/>
    <sheet name="M&amp;S Selection Business Rule" sheetId="23" r:id="rId4"/>
    <sheet name="FY2024 Elevator Rule" sheetId="7" r:id="rId5"/>
    <sheet name="FY2024 Overhead Crane Rule" sheetId="8" r:id="rId6"/>
    <sheet name="FY2024 Fire Sprinkler Rule" sheetId="9" r:id="rId7"/>
    <sheet name="Loading Dock Footnote" sheetId="10" r:id="rId8"/>
    <sheet name="Range Business Rules" sheetId="11" r:id="rId9"/>
  </sheets>
  <definedNames>
    <definedName name="_5_6_digit" localSheetId="3">#REF!</definedName>
    <definedName name="_5_6_digit" localSheetId="2">#REF!</definedName>
    <definedName name="_5_6_digit">#REF!</definedName>
    <definedName name="_xlnm._FilterDatabase" localSheetId="2" hidden="1">'Mil Cost Premiums for PUCs'!$A$3:$R$3</definedName>
    <definedName name="_xlnm._FilterDatabase" localSheetId="0" hidden="1">'PUC Calculations FY2024'!$N$1:$N$4487</definedName>
    <definedName name="_ftn1" localSheetId="3">'M&amp;S Selection Business Rule'!$A$16</definedName>
    <definedName name="_ftn2" localSheetId="3">'M&amp;S Selection Business Rule'!$A$17</definedName>
    <definedName name="_ftnref1" localSheetId="3">'M&amp;S Selection Business Rule'!$A$2</definedName>
    <definedName name="_ftnref2" localSheetId="3">'M&amp;S Selection Business Rule'!$F$2</definedName>
    <definedName name="Ecat" localSheetId="2">#REF!</definedName>
    <definedName name="Ecat" localSheetId="0">#REF!</definedName>
    <definedName name="Ecat">#REF!</definedName>
    <definedName name="Ecat1" localSheetId="0">#REF!</definedName>
    <definedName name="Ecat1">#REF!</definedName>
    <definedName name="ff">#REF!</definedName>
    <definedName name="MB_5_6_digit_CC_export">#REF!</definedName>
    <definedName name="MB_latestorder">#REF!</definedName>
    <definedName name="NVMC_Lkup_UICs" localSheetId="2">#REF!</definedName>
    <definedName name="NVMC_Lkup_UICs" localSheetId="0">#REF!</definedName>
    <definedName name="NVMC_Lkup_UICs">#REF!</definedName>
    <definedName name="NVMC_lookup_UICs2" localSheetId="2">#REF!</definedName>
    <definedName name="NVMC_lookup_UICs2" localSheetId="0">#REF!</definedName>
    <definedName name="NVMC_lookup_UICs2">#REF!</definedName>
    <definedName name="_xlnm.Print_Area" localSheetId="1">'FY2024 MILCON Inflation Table'!$A$1:$F$31</definedName>
    <definedName name="_xlnm.Print_Area" localSheetId="2">'Mil Cost Premiums for PUCs'!$A$1:$R$307</definedName>
    <definedName name="_xlnm.Print_Area" localSheetId="0">'PUC Calculations FY2024'!$O$902:$T$931</definedName>
    <definedName name="_xlnm.Print_Titles" localSheetId="4">'FY2024 Elevator Rule'!$1:$2</definedName>
    <definedName name="PRV" localSheetId="2">'Mil Cost Premiums for PUCs'!$AS$4:$AS$551</definedName>
    <definedName name="PRV">#REF!</definedName>
    <definedName name="SF_FACS" localSheetId="2">#REF!</definedName>
    <definedName name="SF_FACS" localSheetId="0">#REF!</definedName>
    <definedName name="SF_FACS">#REF!</definedName>
    <definedName name="SF_FACs2" localSheetId="2">#REF!</definedName>
    <definedName name="SF_FACs2" localSheetId="0">#REF!</definedName>
    <definedName name="SF_FACs2">#REF!</definedName>
    <definedName name="Sort_Service" localSheetId="2">#REF!</definedName>
    <definedName name="Sort_Service" localSheetId="0">#REF!</definedName>
    <definedName name="Sort_Service">#REF!</definedName>
    <definedName name="Table_2">#REF!</definedName>
    <definedName name="Table_3">#REF!</definedName>
    <definedName name="Table_3_Legend">#REF!</definedName>
    <definedName name="Table_4_1C">#REF!</definedName>
    <definedName name="Table_4_1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52" i="3" l="1"/>
  <c r="K4630" i="3"/>
  <c r="K4354" i="3"/>
  <c r="I572" i="3" l="1"/>
  <c r="I43" i="3" l="1"/>
  <c r="J2070" i="3" l="1"/>
  <c r="K2070" i="3" s="1"/>
  <c r="K2071" i="3" s="1"/>
  <c r="J4145" i="3"/>
  <c r="J4141" i="3"/>
  <c r="J4102" i="3"/>
  <c r="J4098" i="3"/>
  <c r="J4043" i="3"/>
  <c r="J4039" i="3"/>
  <c r="J4034" i="3"/>
  <c r="J4030" i="3"/>
  <c r="K152" i="3"/>
  <c r="K153" i="3" s="1"/>
  <c r="K154" i="3" s="1"/>
  <c r="J2065" i="3" l="1"/>
  <c r="J4556" i="3"/>
  <c r="J4537" i="3"/>
  <c r="J4424" i="3"/>
  <c r="I4353" i="3"/>
  <c r="I4350" i="3"/>
  <c r="I4349" i="3"/>
  <c r="I4347" i="3"/>
  <c r="J4288" i="3"/>
  <c r="J4279" i="3"/>
  <c r="J4076" i="3"/>
  <c r="J4011" i="3"/>
  <c r="J3740" i="3" l="1"/>
  <c r="J3729" i="3"/>
  <c r="J3681" i="3"/>
  <c r="J3650" i="3"/>
  <c r="J3594" i="3"/>
  <c r="J3582" i="3"/>
  <c r="J3495" i="3"/>
  <c r="J3477" i="3"/>
  <c r="J3466" i="3"/>
  <c r="J3429" i="3"/>
  <c r="J3418" i="3"/>
  <c r="J3407" i="3"/>
  <c r="J3386" i="3"/>
  <c r="J3315" i="3"/>
  <c r="J3269" i="3"/>
  <c r="J3217" i="3"/>
  <c r="J3197" i="3"/>
  <c r="J3174" i="3"/>
  <c r="J3163" i="3"/>
  <c r="J3139" i="3"/>
  <c r="J3089" i="3"/>
  <c r="J3069" i="3"/>
  <c r="J3015" i="3"/>
  <c r="J3004" i="3"/>
  <c r="J2972" i="3"/>
  <c r="J2445" i="3"/>
  <c r="I2333" i="3"/>
  <c r="I2323" i="3"/>
  <c r="J2271" i="3"/>
  <c r="J2251" i="3"/>
  <c r="J2236" i="3"/>
  <c r="J2218" i="3"/>
  <c r="J2011" i="3"/>
  <c r="J1982" i="3"/>
  <c r="J1955" i="3"/>
  <c r="J1928" i="3"/>
  <c r="J1901" i="3"/>
  <c r="J1816" i="3"/>
  <c r="J1801" i="3"/>
  <c r="J1786" i="3"/>
  <c r="J1707" i="3"/>
  <c r="J1623" i="3"/>
  <c r="J1578" i="3"/>
  <c r="K632" i="3"/>
  <c r="K633" i="3" s="1"/>
  <c r="J894" i="3" l="1"/>
  <c r="J879" i="3"/>
  <c r="J790" i="3"/>
  <c r="J759" i="3"/>
  <c r="K557" i="3"/>
  <c r="K558" i="3" s="1"/>
  <c r="K552" i="3"/>
  <c r="K553" i="3" s="1"/>
  <c r="K547" i="3"/>
  <c r="K548" i="3" s="1"/>
  <c r="K542" i="3"/>
  <c r="K543" i="3" s="1"/>
  <c r="K537" i="3"/>
  <c r="K538" i="3" s="1"/>
  <c r="J329" i="3"/>
  <c r="J328" i="3"/>
  <c r="S926" i="3" l="1"/>
  <c r="T925" i="3"/>
  <c r="T924" i="3"/>
  <c r="T923" i="3"/>
  <c r="T922" i="3"/>
  <c r="T921" i="3"/>
  <c r="T920" i="3"/>
  <c r="T919" i="3"/>
  <c r="T918" i="3"/>
  <c r="T917" i="3"/>
  <c r="T916" i="3"/>
  <c r="T915" i="3"/>
  <c r="T914" i="3"/>
  <c r="T913" i="3"/>
  <c r="T912" i="3"/>
  <c r="T911" i="3"/>
  <c r="T910" i="3"/>
  <c r="T909" i="3"/>
  <c r="T908" i="3"/>
  <c r="T907" i="3"/>
  <c r="Q922" i="3"/>
  <c r="Q921" i="3"/>
  <c r="Q919" i="3"/>
  <c r="Q918" i="3"/>
  <c r="Q917" i="3"/>
  <c r="Q916" i="3"/>
  <c r="Q915" i="3"/>
  <c r="Q914" i="3"/>
  <c r="Q913" i="3"/>
  <c r="Q923" i="3"/>
  <c r="J3820" i="3"/>
  <c r="K3820" i="3" s="1"/>
  <c r="J3819" i="3"/>
  <c r="K3819" i="3" s="1"/>
  <c r="J3822" i="3"/>
  <c r="K3821" i="3" l="1"/>
  <c r="K3822" i="3" s="1"/>
  <c r="Q32" i="17"/>
  <c r="R32" i="17" s="1"/>
  <c r="J942" i="3" s="1"/>
  <c r="F32" i="17"/>
  <c r="J940" i="3"/>
  <c r="K940" i="3" s="1"/>
  <c r="G939" i="3"/>
  <c r="K939" i="3" s="1"/>
  <c r="K938" i="3"/>
  <c r="K937" i="3"/>
  <c r="J936" i="3"/>
  <c r="E936" i="3"/>
  <c r="J935" i="3"/>
  <c r="E935" i="3"/>
  <c r="J934" i="3"/>
  <c r="E934" i="3"/>
  <c r="J933" i="3"/>
  <c r="E933" i="3"/>
  <c r="J932" i="3"/>
  <c r="E932" i="3"/>
  <c r="K936" i="3" l="1"/>
  <c r="K935" i="3"/>
  <c r="K933" i="3"/>
  <c r="K934" i="3"/>
  <c r="K932" i="3"/>
  <c r="I925" i="3"/>
  <c r="K925" i="3" s="1"/>
  <c r="E926" i="3"/>
  <c r="K926" i="3" s="1"/>
  <c r="I437" i="3"/>
  <c r="K437" i="3" s="1"/>
  <c r="K438" i="3" s="1"/>
  <c r="K941" i="3" l="1"/>
  <c r="K942" i="3" s="1"/>
  <c r="K927" i="3"/>
  <c r="K928" i="3" s="1"/>
  <c r="J1646" i="3"/>
  <c r="I381" i="3"/>
  <c r="K381" i="3" s="1"/>
  <c r="I380" i="3"/>
  <c r="K380" i="3" s="1"/>
  <c r="I379" i="3"/>
  <c r="K379" i="3" s="1"/>
  <c r="K383" i="3"/>
  <c r="K382" i="3"/>
  <c r="K384" i="3" l="1"/>
  <c r="K385" i="3" s="1"/>
  <c r="I370" i="3" l="1"/>
  <c r="I374" i="3" s="1"/>
  <c r="K374" i="3" s="1"/>
  <c r="I371" i="3" l="1"/>
  <c r="I372" i="3" s="1"/>
  <c r="K372" i="3" s="1"/>
  <c r="K370" i="3"/>
  <c r="K371" i="3" l="1"/>
  <c r="K373" i="3" s="1"/>
  <c r="K375" i="3" s="1"/>
  <c r="Q9" i="17"/>
  <c r="R9" i="17"/>
  <c r="R8" i="17"/>
  <c r="R7" i="17"/>
  <c r="J366" i="3" s="1"/>
  <c r="P9" i="17"/>
  <c r="G9" i="17"/>
  <c r="G8" i="17"/>
  <c r="G7" i="17"/>
  <c r="G6" i="17"/>
  <c r="F9" i="17"/>
  <c r="F8" i="17"/>
  <c r="F7" i="17"/>
  <c r="K364" i="3"/>
  <c r="K363" i="3"/>
  <c r="K362" i="3"/>
  <c r="K361" i="3"/>
  <c r="K360" i="3"/>
  <c r="K359" i="3"/>
  <c r="K365" i="3" l="1"/>
  <c r="K366" i="3" s="1"/>
  <c r="E744" i="3"/>
  <c r="E745" i="3"/>
  <c r="K745" i="3" s="1"/>
  <c r="I700" i="3"/>
  <c r="I701" i="3" s="1"/>
  <c r="K701" i="3" s="1"/>
  <c r="E413" i="3"/>
  <c r="K413" i="3" s="1"/>
  <c r="E412" i="3"/>
  <c r="K412" i="3" s="1"/>
  <c r="E411" i="3"/>
  <c r="K411" i="3" s="1"/>
  <c r="I399" i="3"/>
  <c r="K399" i="3" s="1"/>
  <c r="I390" i="3"/>
  <c r="K390" i="3" s="1"/>
  <c r="I389" i="3"/>
  <c r="I315" i="3"/>
  <c r="K4520" i="3"/>
  <c r="K4516" i="3"/>
  <c r="G271" i="17"/>
  <c r="F271" i="17"/>
  <c r="R271" i="17" s="1"/>
  <c r="J4525" i="3" s="1"/>
  <c r="E4519" i="3"/>
  <c r="K4519" i="3" s="1"/>
  <c r="E4518" i="3"/>
  <c r="K4518" i="3" s="1"/>
  <c r="E4517" i="3"/>
  <c r="K4517" i="3" s="1"/>
  <c r="E4515" i="3"/>
  <c r="K4515" i="3" s="1"/>
  <c r="I4172" i="3"/>
  <c r="K4172" i="3" s="1"/>
  <c r="I4171" i="3"/>
  <c r="K4171" i="3" s="1"/>
  <c r="K4170" i="3"/>
  <c r="I4233" i="3"/>
  <c r="I4234" i="3" s="1"/>
  <c r="E4321" i="3"/>
  <c r="K4321" i="3" s="1"/>
  <c r="E4387" i="3"/>
  <c r="K4387" i="3" s="1"/>
  <c r="K4388" i="3" s="1"/>
  <c r="I4330" i="3"/>
  <c r="K4629" i="3"/>
  <c r="K4628" i="3"/>
  <c r="I4224" i="3"/>
  <c r="K4224" i="3" s="1"/>
  <c r="I2927" i="3"/>
  <c r="K2927" i="3" s="1"/>
  <c r="I4616" i="3"/>
  <c r="K4616" i="3" s="1"/>
  <c r="I1534" i="3"/>
  <c r="K1534" i="3" s="1"/>
  <c r="K414" i="3" l="1"/>
  <c r="K417" i="3" s="1"/>
  <c r="K700" i="3"/>
  <c r="K702" i="3" s="1"/>
  <c r="K703" i="3" s="1"/>
  <c r="I400" i="3"/>
  <c r="K400" i="3" s="1"/>
  <c r="K401" i="3" s="1"/>
  <c r="K4521" i="3"/>
  <c r="K4524" i="3" s="1"/>
  <c r="K4525" i="3" s="1"/>
  <c r="K4173" i="3"/>
  <c r="K4233" i="3"/>
  <c r="I4235" i="3"/>
  <c r="K4235" i="3" s="1"/>
  <c r="K4234" i="3"/>
  <c r="I4225" i="3"/>
  <c r="K4225" i="3" s="1"/>
  <c r="K4226" i="3" s="1"/>
  <c r="K4227" i="3" s="1"/>
  <c r="I2928" i="3"/>
  <c r="K2928" i="3" s="1"/>
  <c r="K2929" i="3" s="1"/>
  <c r="K2930" i="3" s="1"/>
  <c r="K4617" i="3"/>
  <c r="K2628" i="3"/>
  <c r="K2629" i="3" s="1"/>
  <c r="I2628" i="3"/>
  <c r="K2276" i="3"/>
  <c r="K2277" i="3" s="1"/>
  <c r="I2276" i="3"/>
  <c r="K2075" i="3"/>
  <c r="K2076" i="3" s="1"/>
  <c r="E2310" i="3" s="1"/>
  <c r="I2075" i="3"/>
  <c r="I3444" i="3"/>
  <c r="K527" i="3"/>
  <c r="K4236" i="3" l="1"/>
  <c r="K4237" i="3" s="1"/>
  <c r="I4293" i="3"/>
  <c r="K4293" i="3" s="1"/>
  <c r="I3893" i="3"/>
  <c r="K3893" i="3" s="1"/>
  <c r="I4638" i="3"/>
  <c r="K4638" i="3" s="1"/>
  <c r="K4639" i="3" s="1"/>
  <c r="I532" i="3"/>
  <c r="K532" i="3" s="1"/>
  <c r="K533" i="3" s="1"/>
  <c r="I3278" i="3"/>
  <c r="G3278" i="3"/>
  <c r="J600" i="3"/>
  <c r="K600" i="3" s="1"/>
  <c r="I3894" i="3" l="1"/>
  <c r="K3894" i="3" s="1"/>
  <c r="K3895" i="3" s="1"/>
  <c r="K3278" i="3"/>
  <c r="K3279" i="3" s="1"/>
  <c r="I348" i="3"/>
  <c r="I353" i="3" s="1"/>
  <c r="K353" i="3" s="1"/>
  <c r="G28" i="17"/>
  <c r="E804" i="3"/>
  <c r="K804" i="3" s="1"/>
  <c r="E803" i="3"/>
  <c r="K803" i="3" s="1"/>
  <c r="J3860" i="3"/>
  <c r="F3860" i="3"/>
  <c r="I3860" i="3" s="1"/>
  <c r="J3856" i="3"/>
  <c r="I3855" i="3"/>
  <c r="F3856" i="3"/>
  <c r="I3856" i="3" s="1"/>
  <c r="K3810" i="3"/>
  <c r="G3808" i="3"/>
  <c r="K3807" i="3"/>
  <c r="G3806" i="3"/>
  <c r="K2647" i="3"/>
  <c r="I1388" i="3" l="1"/>
  <c r="K1388" i="3" s="1"/>
  <c r="I1387" i="3"/>
  <c r="K1387" i="3" s="1"/>
  <c r="I1386" i="3"/>
  <c r="K1386" i="3" s="1"/>
  <c r="I920" i="3"/>
  <c r="G920" i="3"/>
  <c r="I432" i="3"/>
  <c r="Q222" i="17"/>
  <c r="P222" i="17"/>
  <c r="G222" i="17"/>
  <c r="F222" i="17"/>
  <c r="R222" i="17" s="1"/>
  <c r="G31" i="17"/>
  <c r="F31" i="17"/>
  <c r="R31" i="17" l="1"/>
  <c r="K920" i="3"/>
  <c r="K1389" i="3"/>
  <c r="K1390" i="3" s="1"/>
  <c r="E3668" i="3"/>
  <c r="E3667" i="3"/>
  <c r="E3666" i="3"/>
  <c r="E3629" i="3"/>
  <c r="E3620" i="3"/>
  <c r="E3607" i="3"/>
  <c r="E3599" i="3"/>
  <c r="E3554" i="3"/>
  <c r="E3553" i="3"/>
  <c r="E3552" i="3"/>
  <c r="J3540" i="3"/>
  <c r="E3299" i="3"/>
  <c r="E3298" i="3"/>
  <c r="E3116" i="3"/>
  <c r="E3053" i="3"/>
  <c r="E3052" i="3"/>
  <c r="G2858" i="3"/>
  <c r="E2861" i="3"/>
  <c r="E2860" i="3"/>
  <c r="E2859" i="3"/>
  <c r="E2858" i="3"/>
  <c r="E2857" i="3"/>
  <c r="E2856" i="3"/>
  <c r="I2619" i="3"/>
  <c r="I2618" i="3"/>
  <c r="E2599" i="3"/>
  <c r="E2598" i="3"/>
  <c r="E2597" i="3"/>
  <c r="E2596" i="3"/>
  <c r="E2595" i="3"/>
  <c r="E2594" i="3"/>
  <c r="E2291" i="3"/>
  <c r="E2290" i="3"/>
  <c r="E2289" i="3"/>
  <c r="E2288" i="3"/>
  <c r="E2287" i="3"/>
  <c r="E2286" i="3"/>
  <c r="E2285" i="3"/>
  <c r="E2284" i="3"/>
  <c r="E2162" i="3"/>
  <c r="E2161" i="3"/>
  <c r="E2160" i="3"/>
  <c r="E2159" i="3"/>
  <c r="E2158" i="3"/>
  <c r="E2157" i="3"/>
  <c r="E2156" i="3"/>
  <c r="E2155" i="3"/>
  <c r="E2055" i="3"/>
  <c r="E2054" i="3"/>
  <c r="E2052" i="3"/>
  <c r="E2042" i="3"/>
  <c r="E2019" i="3"/>
  <c r="E2016" i="3"/>
  <c r="E1987" i="3"/>
  <c r="E1990" i="3"/>
  <c r="E1960" i="3"/>
  <c r="E1933" i="3"/>
  <c r="E1825" i="3"/>
  <c r="E1821" i="3"/>
  <c r="E1588" i="3"/>
  <c r="I49" i="3"/>
  <c r="I53" i="3" s="1"/>
  <c r="I86" i="3"/>
  <c r="I91" i="3" s="1"/>
  <c r="I70" i="3"/>
  <c r="I75" i="3" s="1"/>
  <c r="I3660" i="3"/>
  <c r="I3563" i="3"/>
  <c r="K3563" i="3" s="1"/>
  <c r="I2315" i="3"/>
  <c r="I2314" i="3"/>
  <c r="I2144" i="3"/>
  <c r="I2135" i="3"/>
  <c r="I1747" i="3"/>
  <c r="H1747" i="3"/>
  <c r="I900" i="3"/>
  <c r="I901" i="3" s="1"/>
  <c r="I861" i="3"/>
  <c r="I902" i="3" l="1"/>
  <c r="I51" i="3"/>
  <c r="K1554" i="3"/>
  <c r="K834" i="3"/>
  <c r="K835" i="3" s="1"/>
  <c r="K836" i="3" s="1"/>
  <c r="K845" i="3"/>
  <c r="K846" i="3" s="1"/>
  <c r="K847" i="3" s="1"/>
  <c r="E805" i="3" l="1"/>
  <c r="K805" i="3" s="1"/>
  <c r="K806" i="3" s="1"/>
  <c r="K3444" i="3" l="1"/>
  <c r="K3344" i="3"/>
  <c r="K2699" i="3"/>
  <c r="K2554" i="3"/>
  <c r="K1852" i="3" l="1"/>
  <c r="K1877" i="3"/>
  <c r="K1862" i="3"/>
  <c r="K1857" i="3"/>
  <c r="K1763" i="3"/>
  <c r="K1694" i="3"/>
  <c r="F21" i="4" l="1"/>
  <c r="F20" i="4"/>
  <c r="F22" i="4"/>
  <c r="F24" i="4"/>
  <c r="F23" i="4"/>
  <c r="F19" i="4"/>
  <c r="F18" i="4"/>
  <c r="F17" i="4"/>
  <c r="F16" i="4"/>
  <c r="F15" i="4"/>
  <c r="F14" i="4"/>
  <c r="F13" i="4"/>
  <c r="F12" i="4"/>
  <c r="F11" i="4"/>
  <c r="F10" i="4"/>
  <c r="F9" i="4"/>
  <c r="F8" i="4"/>
  <c r="F7" i="4"/>
  <c r="F6" i="4"/>
  <c r="F5" i="4"/>
  <c r="F4" i="4"/>
  <c r="K2361" i="3" l="1"/>
  <c r="J1465" i="3" l="1"/>
  <c r="J1464" i="3"/>
  <c r="E784" i="3"/>
  <c r="G744" i="3"/>
  <c r="K744" i="3" s="1"/>
  <c r="K746" i="3" s="1"/>
  <c r="K749" i="3" s="1"/>
  <c r="K1464" i="3" l="1"/>
  <c r="G889" i="3"/>
  <c r="G888" i="3"/>
  <c r="G887" i="3"/>
  <c r="G785" i="3"/>
  <c r="K583" i="3"/>
  <c r="K582" i="3"/>
  <c r="K303" i="3"/>
  <c r="K302" i="3"/>
  <c r="K301" i="3"/>
  <c r="K300" i="3"/>
  <c r="K299" i="3"/>
  <c r="K298" i="3"/>
  <c r="K287" i="3"/>
  <c r="K286" i="3"/>
  <c r="K285" i="3"/>
  <c r="K267" i="3"/>
  <c r="K266" i="3"/>
  <c r="K265" i="3"/>
  <c r="K264" i="3"/>
  <c r="K263" i="3"/>
  <c r="K262" i="3"/>
  <c r="K261" i="3"/>
  <c r="K239" i="3"/>
  <c r="K238" i="3"/>
  <c r="K237" i="3"/>
  <c r="K236" i="3"/>
  <c r="K235" i="3"/>
  <c r="K234" i="3"/>
  <c r="K193" i="3"/>
  <c r="K203" i="3"/>
  <c r="K240" i="3" l="1"/>
  <c r="K241" i="3" s="1"/>
  <c r="K268" i="3"/>
  <c r="K269" i="3" s="1"/>
  <c r="G913" i="3"/>
  <c r="I715" i="3"/>
  <c r="J777" i="3"/>
  <c r="K777" i="3" s="1"/>
  <c r="J776" i="3"/>
  <c r="K776" i="3" s="1"/>
  <c r="J775" i="3"/>
  <c r="K775" i="3" s="1"/>
  <c r="K270" i="3" l="1"/>
  <c r="K242" i="3"/>
  <c r="K778" i="3"/>
  <c r="K2397" i="3" l="1"/>
  <c r="K2396" i="3"/>
  <c r="K2395" i="3"/>
  <c r="K2394" i="3"/>
  <c r="K2393" i="3"/>
  <c r="K2392" i="3"/>
  <c r="K2391" i="3"/>
  <c r="K2384" i="3"/>
  <c r="K2383" i="3"/>
  <c r="K2382" i="3"/>
  <c r="K2381" i="3"/>
  <c r="K2380" i="3"/>
  <c r="K2379" i="3"/>
  <c r="K2378" i="3"/>
  <c r="K2377" i="3"/>
  <c r="K2376" i="3"/>
  <c r="K2369" i="3"/>
  <c r="K2368" i="3"/>
  <c r="K2367" i="3"/>
  <c r="K2366" i="3"/>
  <c r="K2365" i="3"/>
  <c r="K2364" i="3"/>
  <c r="K2363" i="3"/>
  <c r="K2362" i="3"/>
  <c r="K4408" i="3"/>
  <c r="J4483" i="3" l="1"/>
  <c r="J4364" i="3"/>
  <c r="K4098" i="3"/>
  <c r="J3745" i="3"/>
  <c r="Q216" i="17"/>
  <c r="P216" i="17"/>
  <c r="G216" i="17"/>
  <c r="F216" i="17"/>
  <c r="E3745" i="3"/>
  <c r="E3643" i="3"/>
  <c r="E3644" i="3"/>
  <c r="E3642" i="3"/>
  <c r="E3640" i="3"/>
  <c r="E3639" i="3"/>
  <c r="E3638" i="3"/>
  <c r="J3615" i="3"/>
  <c r="R216" i="17" l="1"/>
  <c r="J3746" i="3" s="1"/>
  <c r="K3745" i="3"/>
  <c r="K2704" i="3"/>
  <c r="J2346" i="3"/>
  <c r="K1753" i="3"/>
  <c r="I1722" i="3"/>
  <c r="J795" i="3"/>
  <c r="K3746" i="3" l="1"/>
  <c r="F2459" i="3"/>
  <c r="E2421" i="3"/>
  <c r="E460" i="3"/>
  <c r="K291" i="3"/>
  <c r="K290" i="3"/>
  <c r="K289" i="3"/>
  <c r="K288" i="3"/>
  <c r="K278" i="3"/>
  <c r="K277" i="3"/>
  <c r="K276" i="3"/>
  <c r="K275" i="3"/>
  <c r="K274" i="3"/>
  <c r="K254" i="3"/>
  <c r="K253" i="3"/>
  <c r="K252" i="3"/>
  <c r="K251" i="3"/>
  <c r="K250" i="3"/>
  <c r="K249" i="3"/>
  <c r="K248" i="3"/>
  <c r="K247" i="3"/>
  <c r="K246" i="3"/>
  <c r="K227" i="3"/>
  <c r="K226" i="3"/>
  <c r="K225" i="3"/>
  <c r="K224" i="3"/>
  <c r="K223" i="3"/>
  <c r="K222" i="3"/>
  <c r="K221" i="3"/>
  <c r="K220" i="3"/>
  <c r="K218" i="3"/>
  <c r="K219" i="3"/>
  <c r="K211" i="3"/>
  <c r="K210" i="3"/>
  <c r="K209" i="3"/>
  <c r="K208" i="3"/>
  <c r="K207" i="3"/>
  <c r="K206" i="3"/>
  <c r="K205" i="3"/>
  <c r="K204" i="3"/>
  <c r="K196" i="3"/>
  <c r="K195" i="3"/>
  <c r="K194" i="3"/>
  <c r="K185" i="3"/>
  <c r="K184" i="3"/>
  <c r="K183" i="3"/>
  <c r="K182" i="3"/>
  <c r="K181" i="3"/>
  <c r="K180" i="3"/>
  <c r="K179" i="3"/>
  <c r="K178" i="3"/>
  <c r="K177" i="3"/>
  <c r="K176" i="3"/>
  <c r="K175" i="3"/>
  <c r="K168" i="3"/>
  <c r="K169" i="3" s="1"/>
  <c r="J3850" i="3"/>
  <c r="J3859" i="3" s="1"/>
  <c r="K2441" i="3"/>
  <c r="K2444" i="3" s="1"/>
  <c r="K2445" i="3" s="1"/>
  <c r="K2446" i="3" s="1"/>
  <c r="K602" i="3"/>
  <c r="K170" i="3" l="1"/>
  <c r="K197" i="3"/>
  <c r="K198" i="3" s="1"/>
  <c r="K186" i="3"/>
  <c r="K188" i="3" s="1"/>
  <c r="K255" i="3"/>
  <c r="K256" i="3" s="1"/>
  <c r="K292" i="3"/>
  <c r="K293" i="3" s="1"/>
  <c r="K304" i="3"/>
  <c r="K279" i="3"/>
  <c r="K280" i="3" s="1"/>
  <c r="K228" i="3"/>
  <c r="K212" i="3"/>
  <c r="K213" i="3" s="1"/>
  <c r="J3852" i="3"/>
  <c r="J3854" i="3"/>
  <c r="J3857" i="3"/>
  <c r="J3858" i="3"/>
  <c r="J3853" i="3"/>
  <c r="J3851" i="3"/>
  <c r="J3855" i="3"/>
  <c r="G393" i="3"/>
  <c r="G392" i="3"/>
  <c r="K294" i="3" l="1"/>
  <c r="K281" i="3"/>
  <c r="K257" i="3"/>
  <c r="K214" i="3"/>
  <c r="K199" i="3"/>
  <c r="K189" i="3"/>
  <c r="K171" i="3"/>
  <c r="K229" i="3"/>
  <c r="K402" i="3"/>
  <c r="E1796" i="3"/>
  <c r="G1793" i="3"/>
  <c r="E1791" i="3"/>
  <c r="G1781" i="3"/>
  <c r="K1781" i="3" s="1"/>
  <c r="E1780" i="3"/>
  <c r="K1780" i="3" s="1"/>
  <c r="E1777" i="3"/>
  <c r="E1699" i="3"/>
  <c r="K1699" i="3" s="1"/>
  <c r="K1702" i="3"/>
  <c r="K1700" i="3"/>
  <c r="K1618" i="3"/>
  <c r="K1617" i="3"/>
  <c r="K1615" i="3"/>
  <c r="E1616" i="3"/>
  <c r="E889" i="3"/>
  <c r="K888" i="3"/>
  <c r="E885" i="3"/>
  <c r="G885" i="3" s="1"/>
  <c r="E884" i="3"/>
  <c r="E886" i="3"/>
  <c r="G886" i="3" s="1"/>
  <c r="E874" i="3"/>
  <c r="K874" i="3" s="1"/>
  <c r="E873" i="3"/>
  <c r="K873" i="3" s="1"/>
  <c r="G784" i="3"/>
  <c r="E785" i="3"/>
  <c r="E783" i="3"/>
  <c r="K783" i="3" s="1"/>
  <c r="E782" i="3"/>
  <c r="K782" i="3" s="1"/>
  <c r="E754" i="3"/>
  <c r="K230" i="3" l="1"/>
  <c r="G884" i="3"/>
  <c r="K884" i="3" s="1"/>
  <c r="K875" i="3"/>
  <c r="K878" i="3" s="1"/>
  <c r="K879" i="3" s="1"/>
  <c r="K880" i="3" s="1"/>
  <c r="K784" i="3"/>
  <c r="K785" i="3"/>
  <c r="K885" i="3"/>
  <c r="K4606" i="3"/>
  <c r="G4551" i="3"/>
  <c r="K4551" i="3" s="1"/>
  <c r="G4547" i="3"/>
  <c r="G4546" i="3"/>
  <c r="K4546" i="3" s="1"/>
  <c r="G4548" i="3"/>
  <c r="E4550" i="3"/>
  <c r="K4550" i="3" s="1"/>
  <c r="E4549" i="3"/>
  <c r="K4549" i="3" s="1"/>
  <c r="E4548" i="3"/>
  <c r="E4547" i="3"/>
  <c r="E4545" i="3"/>
  <c r="J4542" i="3"/>
  <c r="E4418" i="3"/>
  <c r="E4417" i="3"/>
  <c r="E4416" i="3"/>
  <c r="E4414" i="3"/>
  <c r="E4320" i="3"/>
  <c r="E4275" i="3"/>
  <c r="E4071" i="3"/>
  <c r="E4070" i="3"/>
  <c r="K4070" i="3" s="1"/>
  <c r="K786" i="3" l="1"/>
  <c r="K789" i="3" s="1"/>
  <c r="K790" i="3" s="1"/>
  <c r="K791" i="3" s="1"/>
  <c r="K4548" i="3"/>
  <c r="K4547" i="3"/>
  <c r="G1469" i="3"/>
  <c r="G1468" i="3"/>
  <c r="G1467" i="3"/>
  <c r="E1465" i="3"/>
  <c r="E1464" i="3" l="1"/>
  <c r="Q911" i="3"/>
  <c r="Q910" i="3"/>
  <c r="Q909" i="3"/>
  <c r="G348" i="3"/>
  <c r="K348" i="3" s="1"/>
  <c r="G76" i="3"/>
  <c r="G64" i="3"/>
  <c r="G33" i="3"/>
  <c r="G9" i="3"/>
  <c r="G19" i="3"/>
  <c r="G4441" i="3"/>
  <c r="G4432" i="3"/>
  <c r="G4431" i="3"/>
  <c r="G4430" i="3"/>
  <c r="G4429" i="3"/>
  <c r="H4427" i="3"/>
  <c r="E4268" i="3"/>
  <c r="K4263" i="3"/>
  <c r="G4261" i="3"/>
  <c r="E4255" i="3"/>
  <c r="F4216" i="3" l="1"/>
  <c r="F4189" i="3"/>
  <c r="F3902" i="3"/>
  <c r="K3885" i="3"/>
  <c r="K3886" i="3" s="1"/>
  <c r="K3889" i="3" s="1"/>
  <c r="J3885" i="3"/>
  <c r="F3779" i="3" l="1"/>
  <c r="I2955" i="3"/>
  <c r="I2587" i="3" l="1"/>
  <c r="I2527" i="3"/>
  <c r="K2527" i="3" s="1"/>
  <c r="K2528" i="3" s="1"/>
  <c r="J2354" i="3"/>
  <c r="K2354" i="3" s="1"/>
  <c r="K323" i="3"/>
  <c r="E324" i="3"/>
  <c r="K324" i="3" s="1"/>
  <c r="E321" i="3"/>
  <c r="E320" i="3"/>
  <c r="E2038" i="3"/>
  <c r="G2036" i="3" s="1"/>
  <c r="I862" i="3"/>
  <c r="K862" i="3" s="1"/>
  <c r="K824" i="3"/>
  <c r="G3809" i="3" l="1"/>
  <c r="K3809" i="3" s="1"/>
  <c r="K3808" i="3"/>
  <c r="K3806" i="3"/>
  <c r="E3715" i="3"/>
  <c r="E3711" i="3"/>
  <c r="E3709" i="3"/>
  <c r="E3708" i="3"/>
  <c r="E3704" i="3"/>
  <c r="E3703" i="3"/>
  <c r="E3589" i="3"/>
  <c r="E3588" i="3"/>
  <c r="E3576" i="3"/>
  <c r="E3575" i="3"/>
  <c r="E3574" i="3"/>
  <c r="E3572" i="3"/>
  <c r="E3573" i="3" s="1"/>
  <c r="E3461" i="3"/>
  <c r="K3460" i="3"/>
  <c r="K3424" i="3"/>
  <c r="G3264" i="3"/>
  <c r="K3264" i="3" s="1"/>
  <c r="K3211" i="3"/>
  <c r="G3212" i="3"/>
  <c r="K3212" i="3" s="1"/>
  <c r="E3192" i="3"/>
  <c r="G3189" i="3"/>
  <c r="I3191" i="3"/>
  <c r="K3191" i="3" s="1"/>
  <c r="E3190" i="3"/>
  <c r="I3190" i="3" s="1"/>
  <c r="K3190" i="3" s="1"/>
  <c r="E3189" i="3"/>
  <c r="K3188" i="3"/>
  <c r="K3187" i="3"/>
  <c r="E3168" i="3"/>
  <c r="G3158" i="3"/>
  <c r="I3158" i="3" s="1"/>
  <c r="E3157" i="3"/>
  <c r="I3157" i="3" s="1"/>
  <c r="G3156" i="3"/>
  <c r="E3156" i="3"/>
  <c r="E3134" i="3"/>
  <c r="I3134" i="3" s="1"/>
  <c r="G3133" i="3"/>
  <c r="E3133" i="3"/>
  <c r="I3132" i="3"/>
  <c r="K3132" i="3" s="1"/>
  <c r="I3084" i="3"/>
  <c r="K3084" i="3" s="1"/>
  <c r="E3083" i="3"/>
  <c r="I3083" i="3" s="1"/>
  <c r="G3082" i="3"/>
  <c r="E3082" i="3"/>
  <c r="K3079" i="3"/>
  <c r="G3064" i="3"/>
  <c r="G3063" i="3"/>
  <c r="K3062" i="3"/>
  <c r="I2999" i="3"/>
  <c r="K2999" i="3" s="1"/>
  <c r="E2998" i="3"/>
  <c r="I2998" i="3" s="1"/>
  <c r="G2997" i="3"/>
  <c r="E2997" i="3"/>
  <c r="K2977" i="3"/>
  <c r="K2978" i="3" s="1"/>
  <c r="E2966" i="3"/>
  <c r="K2966" i="3" s="1"/>
  <c r="G2264" i="3"/>
  <c r="K2264" i="3" s="1"/>
  <c r="G2266" i="3"/>
  <c r="G2265" i="3"/>
  <c r="E2266" i="3"/>
  <c r="E2265" i="3"/>
  <c r="I2263" i="3"/>
  <c r="K2263" i="3" s="1"/>
  <c r="E2262" i="3"/>
  <c r="I2262" i="3" s="1"/>
  <c r="K2262" i="3" s="1"/>
  <c r="G2261" i="3"/>
  <c r="E2261" i="3"/>
  <c r="E2260" i="3"/>
  <c r="K2260" i="3" s="1"/>
  <c r="E2259" i="3"/>
  <c r="K2259" i="3" s="1"/>
  <c r="K2258" i="3"/>
  <c r="K2257" i="3"/>
  <c r="E2256" i="3"/>
  <c r="K2256" i="3" s="1"/>
  <c r="I2245" i="3"/>
  <c r="K2245" i="3" s="1"/>
  <c r="E2246" i="3"/>
  <c r="E2244" i="3"/>
  <c r="I2244" i="3" s="1"/>
  <c r="G2243" i="3"/>
  <c r="E2243" i="3"/>
  <c r="E2241" i="3"/>
  <c r="G2229" i="3"/>
  <c r="I2231" i="3"/>
  <c r="K2231" i="3" s="1"/>
  <c r="E2230" i="3"/>
  <c r="I2230" i="3" s="1"/>
  <c r="K2230" i="3" s="1"/>
  <c r="E2229" i="3"/>
  <c r="E2228" i="3"/>
  <c r="I2228" i="3" s="1"/>
  <c r="K2228" i="3" s="1"/>
  <c r="E2223" i="3"/>
  <c r="K2223" i="3" s="1"/>
  <c r="E2227" i="3"/>
  <c r="K2227" i="3" s="1"/>
  <c r="E2226" i="3"/>
  <c r="K2226" i="3" s="1"/>
  <c r="K2225" i="3"/>
  <c r="K2224" i="3"/>
  <c r="K3811" i="3" l="1"/>
  <c r="I716" i="3"/>
  <c r="I899" i="3"/>
  <c r="I908" i="3"/>
  <c r="I4150" i="3"/>
  <c r="I4151" i="3" s="1"/>
  <c r="K3660" i="3"/>
  <c r="K3661" i="3" s="1"/>
  <c r="I2413" i="3"/>
  <c r="K2413" i="3" s="1"/>
  <c r="K3573" i="3"/>
  <c r="I3573" i="3"/>
  <c r="I3572" i="3"/>
  <c r="I3156" i="3"/>
  <c r="K3156" i="3" s="1"/>
  <c r="I3133" i="3"/>
  <c r="K3133" i="3" s="1"/>
  <c r="I3189" i="3"/>
  <c r="K3189" i="3" s="1"/>
  <c r="K3158" i="3"/>
  <c r="K3157" i="3"/>
  <c r="K3134" i="3"/>
  <c r="I3082" i="3"/>
  <c r="K3082" i="3" s="1"/>
  <c r="I2997" i="3"/>
  <c r="K2997" i="3" s="1"/>
  <c r="K3083" i="3"/>
  <c r="I2243" i="3"/>
  <c r="K2243" i="3" s="1"/>
  <c r="K2998" i="3"/>
  <c r="I2261" i="3"/>
  <c r="K2261" i="3" s="1"/>
  <c r="K2265" i="3"/>
  <c r="K2266" i="3"/>
  <c r="K2244" i="3"/>
  <c r="I2229" i="3"/>
  <c r="K2229" i="3" s="1"/>
  <c r="G2213" i="3"/>
  <c r="I2213" i="3" s="1"/>
  <c r="E2212" i="3"/>
  <c r="I2212" i="3" s="1"/>
  <c r="G2211" i="3"/>
  <c r="E2211" i="3"/>
  <c r="E2210" i="3"/>
  <c r="E2209" i="3"/>
  <c r="E2207" i="3"/>
  <c r="K2207" i="3" s="1"/>
  <c r="E2206" i="3"/>
  <c r="K2206" i="3" s="1"/>
  <c r="K2205" i="3"/>
  <c r="K2204" i="3"/>
  <c r="K2203" i="3"/>
  <c r="I2003" i="3"/>
  <c r="K2003" i="3" s="1"/>
  <c r="G2006" i="3"/>
  <c r="I2006" i="3" s="1"/>
  <c r="E2005" i="3"/>
  <c r="I2005" i="3" s="1"/>
  <c r="K2005" i="3" s="1"/>
  <c r="G2004" i="3"/>
  <c r="E2004" i="3"/>
  <c r="E2002" i="3"/>
  <c r="I2002" i="3" s="1"/>
  <c r="K2002" i="3" s="1"/>
  <c r="E2001" i="3"/>
  <c r="I2001" i="3" s="1"/>
  <c r="K2001" i="3" s="1"/>
  <c r="I2000" i="3"/>
  <c r="K2000" i="3" s="1"/>
  <c r="E1999" i="3"/>
  <c r="I1999" i="3" s="1"/>
  <c r="K1999" i="3" s="1"/>
  <c r="G1975" i="3"/>
  <c r="G1977" i="3"/>
  <c r="I1977" i="3" s="1"/>
  <c r="K1977" i="3" s="1"/>
  <c r="I1920" i="3"/>
  <c r="K1920" i="3" s="1"/>
  <c r="I1974" i="3"/>
  <c r="K1974" i="3" s="1"/>
  <c r="E1976" i="3"/>
  <c r="I1976" i="3" s="1"/>
  <c r="K1976" i="3" s="1"/>
  <c r="E1975" i="3"/>
  <c r="E1973" i="3"/>
  <c r="I1973" i="3" s="1"/>
  <c r="K1973" i="3" s="1"/>
  <c r="E1972" i="3"/>
  <c r="I1972" i="3" s="1"/>
  <c r="K1972" i="3" s="1"/>
  <c r="I1971" i="3"/>
  <c r="K1971" i="3" s="1"/>
  <c r="E1970" i="3"/>
  <c r="I1970" i="3" s="1"/>
  <c r="K1970" i="3" s="1"/>
  <c r="G1948" i="3"/>
  <c r="G1950" i="3"/>
  <c r="I1950" i="3" s="1"/>
  <c r="K1950" i="3" s="1"/>
  <c r="E1949" i="3"/>
  <c r="I1949" i="3" s="1"/>
  <c r="K1949" i="3" s="1"/>
  <c r="E1948" i="3"/>
  <c r="I1947" i="3"/>
  <c r="K1947" i="3" s="1"/>
  <c r="E1944" i="3"/>
  <c r="E1946" i="3"/>
  <c r="I1946" i="3" s="1"/>
  <c r="K1946" i="3" s="1"/>
  <c r="K1945" i="3"/>
  <c r="G1923" i="3"/>
  <c r="I1923" i="3" s="1"/>
  <c r="K1923" i="3" s="1"/>
  <c r="G1921" i="3"/>
  <c r="E1922" i="3"/>
  <c r="I1922" i="3" s="1"/>
  <c r="K1922" i="3" s="1"/>
  <c r="E1921" i="3"/>
  <c r="E1918" i="3"/>
  <c r="I1918" i="3" s="1"/>
  <c r="K1918" i="3" s="1"/>
  <c r="E1919" i="3"/>
  <c r="I1919" i="3" s="1"/>
  <c r="K1919" i="3" s="1"/>
  <c r="I1917" i="3"/>
  <c r="K1917" i="3" s="1"/>
  <c r="E1916" i="3"/>
  <c r="I1916" i="3" s="1"/>
  <c r="K1916" i="3" s="1"/>
  <c r="E1896" i="3"/>
  <c r="E1895" i="3"/>
  <c r="E1893" i="3"/>
  <c r="I1893" i="3" s="1"/>
  <c r="G1892" i="3"/>
  <c r="E1892" i="3"/>
  <c r="E1890" i="3"/>
  <c r="I1890" i="3" s="1"/>
  <c r="K1890" i="3" s="1"/>
  <c r="E1888" i="3"/>
  <c r="I4248" i="3" l="1"/>
  <c r="I515" i="3"/>
  <c r="I3998" i="3"/>
  <c r="K3998" i="3" s="1"/>
  <c r="I457" i="3"/>
  <c r="I913" i="3"/>
  <c r="K913" i="3" s="1"/>
  <c r="I2457" i="3"/>
  <c r="I2458" i="3" s="1"/>
  <c r="I2419" i="3"/>
  <c r="I962" i="3"/>
  <c r="I4089" i="3"/>
  <c r="I4470" i="3"/>
  <c r="I4298" i="3"/>
  <c r="I124" i="3"/>
  <c r="I4359" i="3"/>
  <c r="K4359" i="3" s="1"/>
  <c r="K4360" i="3" s="1"/>
  <c r="I4438" i="3"/>
  <c r="I4305" i="3"/>
  <c r="I39" i="3"/>
  <c r="I4457" i="3"/>
  <c r="I115" i="3"/>
  <c r="I8" i="3"/>
  <c r="I4439" i="3"/>
  <c r="K4439" i="3" s="1"/>
  <c r="I25" i="3"/>
  <c r="I101" i="3"/>
  <c r="I4429" i="3"/>
  <c r="I4268" i="3"/>
  <c r="I4594" i="3"/>
  <c r="I4378" i="3"/>
  <c r="I59" i="3"/>
  <c r="I1466" i="3"/>
  <c r="I4314" i="3"/>
  <c r="I3899" i="3"/>
  <c r="I4241" i="3"/>
  <c r="I4178" i="3"/>
  <c r="I4213" i="3"/>
  <c r="I4202" i="3"/>
  <c r="I3949" i="3"/>
  <c r="I4186" i="3"/>
  <c r="I4081" i="3"/>
  <c r="I4194" i="3"/>
  <c r="I3826" i="3"/>
  <c r="I3827" i="3" s="1"/>
  <c r="I3774" i="3"/>
  <c r="I3534" i="3"/>
  <c r="I3535" i="3" s="1"/>
  <c r="I2982" i="3"/>
  <c r="I3840" i="3"/>
  <c r="I3833" i="3"/>
  <c r="I3768" i="3"/>
  <c r="K3768" i="3" s="1"/>
  <c r="K3769" i="3" s="1"/>
  <c r="K3770" i="3" s="1"/>
  <c r="I2571" i="3"/>
  <c r="I2033" i="3"/>
  <c r="I2450" i="3"/>
  <c r="I2451" i="3" s="1"/>
  <c r="I2332" i="3"/>
  <c r="I2145" i="3"/>
  <c r="I2136" i="3"/>
  <c r="I2322" i="3"/>
  <c r="I2464" i="3"/>
  <c r="I4601" i="3"/>
  <c r="K4601" i="3" s="1"/>
  <c r="K4602" i="3" s="1"/>
  <c r="I1758" i="3"/>
  <c r="I2579" i="3"/>
  <c r="I2522" i="3"/>
  <c r="K2522" i="3" s="1"/>
  <c r="I1882" i="3"/>
  <c r="K1882" i="3" s="1"/>
  <c r="K1884" i="3" s="1"/>
  <c r="I1768" i="3"/>
  <c r="K1768" i="3" s="1"/>
  <c r="K1769" i="3" s="1"/>
  <c r="I2517" i="3"/>
  <c r="K2517" i="3" s="1"/>
  <c r="I1872" i="3"/>
  <c r="I2474" i="3"/>
  <c r="K2474" i="3" s="1"/>
  <c r="I2753" i="3"/>
  <c r="I1757" i="3"/>
  <c r="I2331" i="3"/>
  <c r="I2411" i="3"/>
  <c r="I2404" i="3"/>
  <c r="I2436" i="3"/>
  <c r="K861" i="3"/>
  <c r="K863" i="3" s="1"/>
  <c r="I666" i="3"/>
  <c r="I621" i="3"/>
  <c r="I622" i="3" s="1"/>
  <c r="I623" i="3" s="1"/>
  <c r="I577" i="3"/>
  <c r="F25" i="4"/>
  <c r="I2211" i="3"/>
  <c r="K2211" i="3" s="1"/>
  <c r="K2213" i="3"/>
  <c r="K2212" i="3"/>
  <c r="I2004" i="3"/>
  <c r="K2004" i="3" s="1"/>
  <c r="K2006" i="3"/>
  <c r="I1975" i="3"/>
  <c r="K1975" i="3" s="1"/>
  <c r="K1978" i="3" s="1"/>
  <c r="I1948" i="3"/>
  <c r="K1948" i="3" s="1"/>
  <c r="I1921" i="3"/>
  <c r="K1921" i="3" s="1"/>
  <c r="I1892" i="3"/>
  <c r="G1811" i="3"/>
  <c r="K1811" i="3" s="1"/>
  <c r="E1810" i="3"/>
  <c r="E1806" i="3"/>
  <c r="E1573" i="3"/>
  <c r="E1572" i="3"/>
  <c r="E1567" i="3"/>
  <c r="E1564" i="3"/>
  <c r="K3257" i="3"/>
  <c r="K3222" i="3"/>
  <c r="K2990" i="3"/>
  <c r="K2469" i="3"/>
  <c r="K2426" i="3"/>
  <c r="K2431" i="3"/>
  <c r="K1878" i="3"/>
  <c r="K1555" i="3"/>
  <c r="I1549" i="3"/>
  <c r="I1539" i="3"/>
  <c r="I1529" i="3"/>
  <c r="K1535" i="3"/>
  <c r="I2405" i="3" l="1"/>
  <c r="K2405" i="3" s="1"/>
  <c r="K2404" i="3"/>
  <c r="I2573" i="3"/>
  <c r="K2573" i="3" s="1"/>
  <c r="K2571" i="3"/>
  <c r="I2572" i="3"/>
  <c r="K2572" i="3" s="1"/>
  <c r="I4187" i="3"/>
  <c r="I4188" i="3"/>
  <c r="K4594" i="3"/>
  <c r="I4595" i="3"/>
  <c r="K4595" i="3" s="1"/>
  <c r="I116" i="3"/>
  <c r="I117" i="3"/>
  <c r="K117" i="3" s="1"/>
  <c r="K115" i="3"/>
  <c r="K4643" i="3"/>
  <c r="I4644" i="3"/>
  <c r="K4644" i="3" s="1"/>
  <c r="I3955" i="3"/>
  <c r="I3950" i="3"/>
  <c r="I3961" i="3"/>
  <c r="I3951" i="3"/>
  <c r="I3954" i="3"/>
  <c r="K4089" i="3"/>
  <c r="I4090" i="3"/>
  <c r="K4090" i="3" s="1"/>
  <c r="I4092" i="3"/>
  <c r="K4092" i="3" s="1"/>
  <c r="I4205" i="3"/>
  <c r="K4205" i="3" s="1"/>
  <c r="K4202" i="3"/>
  <c r="I4203" i="3"/>
  <c r="K4203" i="3" s="1"/>
  <c r="I4430" i="3"/>
  <c r="I4431" i="3"/>
  <c r="I4432" i="3"/>
  <c r="K4429" i="3"/>
  <c r="I4459" i="3"/>
  <c r="I4462" i="3"/>
  <c r="K4462" i="3" s="1"/>
  <c r="I4464" i="3"/>
  <c r="K4464" i="3" s="1"/>
  <c r="K4457" i="3"/>
  <c r="I4463" i="3"/>
  <c r="K4463" i="3" s="1"/>
  <c r="I4458" i="3"/>
  <c r="K4458" i="3" s="1"/>
  <c r="K962" i="3"/>
  <c r="I963" i="3"/>
  <c r="I4214" i="3"/>
  <c r="I4215" i="3"/>
  <c r="I103" i="3"/>
  <c r="K103" i="3" s="1"/>
  <c r="K101" i="3"/>
  <c r="I102" i="3"/>
  <c r="K43" i="3"/>
  <c r="K39" i="3"/>
  <c r="I40" i="3"/>
  <c r="I41" i="3"/>
  <c r="K41" i="3" s="1"/>
  <c r="K389" i="3"/>
  <c r="I391" i="3"/>
  <c r="K391" i="3" s="1"/>
  <c r="I3844" i="3"/>
  <c r="I3842" i="3"/>
  <c r="I3843" i="3"/>
  <c r="I3841" i="3"/>
  <c r="I4179" i="3"/>
  <c r="K4178" i="3"/>
  <c r="S930" i="3"/>
  <c r="S931" i="3"/>
  <c r="I1090" i="3" s="1"/>
  <c r="I1323" i="3"/>
  <c r="S927" i="3"/>
  <c r="I1483" i="3"/>
  <c r="S928" i="3"/>
  <c r="S929" i="3"/>
  <c r="I4306" i="3"/>
  <c r="K4305" i="3"/>
  <c r="K25" i="3"/>
  <c r="K27" i="3" s="1"/>
  <c r="I26" i="3"/>
  <c r="K26" i="3" s="1"/>
  <c r="K28" i="3" s="1"/>
  <c r="I32" i="3"/>
  <c r="K32" i="3" s="1"/>
  <c r="I33" i="3"/>
  <c r="K33" i="3" s="1"/>
  <c r="I30" i="3"/>
  <c r="K30" i="3" s="1"/>
  <c r="I31" i="3"/>
  <c r="K31" i="3" s="1"/>
  <c r="I4440" i="3"/>
  <c r="K4440" i="3" s="1"/>
  <c r="I4441" i="3"/>
  <c r="K4441" i="3" s="1"/>
  <c r="K4438" i="3"/>
  <c r="K2419" i="3"/>
  <c r="I2420" i="3"/>
  <c r="K2420" i="3" s="1"/>
  <c r="I3901" i="3"/>
  <c r="I3900" i="3"/>
  <c r="I349" i="3"/>
  <c r="I350" i="3" s="1"/>
  <c r="I3834" i="3"/>
  <c r="K3834" i="3" s="1"/>
  <c r="K3833" i="3"/>
  <c r="I2755" i="3"/>
  <c r="I2756" i="3"/>
  <c r="I2757" i="3"/>
  <c r="I2758" i="3"/>
  <c r="I2759" i="3"/>
  <c r="I2754" i="3"/>
  <c r="I4315" i="3"/>
  <c r="K4315" i="3" s="1"/>
  <c r="K4314" i="3"/>
  <c r="I127" i="3"/>
  <c r="K127" i="3" s="1"/>
  <c r="I125" i="3"/>
  <c r="K125" i="3" s="1"/>
  <c r="K124" i="3"/>
  <c r="I126" i="3"/>
  <c r="K126" i="3" s="1"/>
  <c r="K3774" i="3"/>
  <c r="I3775" i="3"/>
  <c r="I3776" i="3"/>
  <c r="I3778" i="3"/>
  <c r="I3777" i="3"/>
  <c r="K623" i="3"/>
  <c r="I624" i="3"/>
  <c r="I76" i="3"/>
  <c r="K76" i="3" s="1"/>
  <c r="I74" i="3"/>
  <c r="K74" i="3" s="1"/>
  <c r="I73" i="3"/>
  <c r="I71" i="3"/>
  <c r="K71" i="3" s="1"/>
  <c r="K70" i="3"/>
  <c r="I4332" i="3"/>
  <c r="K4332" i="3" s="1"/>
  <c r="I4333" i="3"/>
  <c r="K4333" i="3" s="1"/>
  <c r="I4331" i="3"/>
  <c r="K4330" i="3"/>
  <c r="I4299" i="3"/>
  <c r="K4298" i="3"/>
  <c r="K457" i="3"/>
  <c r="I459" i="3"/>
  <c r="K459" i="3" s="1"/>
  <c r="I458" i="3"/>
  <c r="K458" i="3" s="1"/>
  <c r="K2411" i="3"/>
  <c r="I2412" i="3"/>
  <c r="K2412" i="3" s="1"/>
  <c r="I667" i="3"/>
  <c r="I668" i="3"/>
  <c r="I1469" i="3"/>
  <c r="K1469" i="3" s="1"/>
  <c r="I1467" i="3"/>
  <c r="K1467" i="3" s="1"/>
  <c r="I1468" i="3"/>
  <c r="K1468" i="3" s="1"/>
  <c r="K4622" i="3"/>
  <c r="K4621" i="3"/>
  <c r="I4477" i="3"/>
  <c r="K4477" i="3" s="1"/>
  <c r="I4475" i="3"/>
  <c r="K4475" i="3" s="1"/>
  <c r="I4476" i="3"/>
  <c r="K4476" i="3" s="1"/>
  <c r="I4471" i="3"/>
  <c r="K4471" i="3" s="1"/>
  <c r="K4470" i="3"/>
  <c r="I4473" i="3"/>
  <c r="K4473" i="3" s="1"/>
  <c r="I4474" i="3"/>
  <c r="K4474" i="3" s="1"/>
  <c r="I2580" i="3"/>
  <c r="K2580" i="3" s="1"/>
  <c r="K2579" i="3"/>
  <c r="I2581" i="3"/>
  <c r="K2581" i="3" s="1"/>
  <c r="I2984" i="3"/>
  <c r="K2984" i="3" s="1"/>
  <c r="I2983" i="3"/>
  <c r="K2983" i="3" s="1"/>
  <c r="I2985" i="3"/>
  <c r="K2985" i="3" s="1"/>
  <c r="K2982" i="3"/>
  <c r="I4197" i="3"/>
  <c r="I4195" i="3"/>
  <c r="I4196" i="3"/>
  <c r="I61" i="3"/>
  <c r="K61" i="3" s="1"/>
  <c r="I62" i="3"/>
  <c r="K62" i="3" s="1"/>
  <c r="K59" i="3"/>
  <c r="I60" i="3"/>
  <c r="K60" i="3" s="1"/>
  <c r="I63" i="3"/>
  <c r="K63" i="3" s="1"/>
  <c r="I64" i="3"/>
  <c r="K64" i="3" s="1"/>
  <c r="I90" i="3"/>
  <c r="K90" i="3" s="1"/>
  <c r="K86" i="3"/>
  <c r="I87" i="3"/>
  <c r="K87" i="3" s="1"/>
  <c r="I89" i="3"/>
  <c r="I52" i="3"/>
  <c r="K52" i="3" s="1"/>
  <c r="I50" i="3"/>
  <c r="K49" i="3"/>
  <c r="I516" i="3"/>
  <c r="K516" i="3" s="1"/>
  <c r="K515" i="3"/>
  <c r="I4270" i="3"/>
  <c r="I4269" i="3"/>
  <c r="I4242" i="3"/>
  <c r="K4242" i="3" s="1"/>
  <c r="K4241" i="3"/>
  <c r="I2035" i="3"/>
  <c r="I2036" i="3"/>
  <c r="I2034" i="3"/>
  <c r="I4082" i="3"/>
  <c r="I4083" i="3"/>
  <c r="I4379" i="3"/>
  <c r="K4379" i="3" s="1"/>
  <c r="I4381" i="3"/>
  <c r="K4381" i="3" s="1"/>
  <c r="K4378" i="3"/>
  <c r="I10" i="3"/>
  <c r="K10" i="3" s="1"/>
  <c r="K13" i="3" s="1"/>
  <c r="I15" i="3"/>
  <c r="I16" i="3"/>
  <c r="K16" i="3" s="1"/>
  <c r="I18" i="3"/>
  <c r="K18" i="3" s="1"/>
  <c r="K8" i="3"/>
  <c r="K11" i="3" s="1"/>
  <c r="I9" i="3"/>
  <c r="I4257" i="3"/>
  <c r="I4256" i="3"/>
  <c r="I4249" i="3"/>
  <c r="I4258" i="3"/>
  <c r="I4261" i="3"/>
  <c r="I4262" i="3"/>
  <c r="I4255" i="3"/>
  <c r="K2007" i="3"/>
  <c r="K333" i="3"/>
  <c r="K2414" i="3" l="1"/>
  <c r="K2421" i="3"/>
  <c r="K2422" i="3" s="1"/>
  <c r="K4331" i="3"/>
  <c r="I4334" i="3"/>
  <c r="K4334" i="3" s="1"/>
  <c r="K4335" i="3" s="1"/>
  <c r="K350" i="3"/>
  <c r="I351" i="3"/>
  <c r="K351" i="3" s="1"/>
  <c r="K4316" i="3"/>
  <c r="K4380" i="3"/>
  <c r="K4382" i="3" s="1"/>
  <c r="K4383" i="3" s="1"/>
  <c r="K4623" i="3"/>
  <c r="K4624" i="3" s="1"/>
  <c r="K4243" i="3"/>
  <c r="K29" i="3"/>
  <c r="K34" i="3" s="1"/>
  <c r="K35" i="3" s="1"/>
  <c r="K517" i="3"/>
  <c r="K65" i="3"/>
  <c r="K66" i="3" s="1"/>
  <c r="K128" i="3"/>
  <c r="K129" i="3" s="1"/>
  <c r="K4204" i="3"/>
  <c r="K4206" i="3" s="1"/>
  <c r="K4207" i="3" s="1"/>
  <c r="K72" i="3"/>
  <c r="K3835" i="3"/>
  <c r="K3836" i="3" s="1"/>
  <c r="K4091" i="3"/>
  <c r="K4093" i="3" s="1"/>
  <c r="K4094" i="3" s="1"/>
  <c r="K88" i="3"/>
  <c r="K460" i="3"/>
  <c r="K461" i="3" s="1"/>
  <c r="K2574" i="3"/>
  <c r="K2575" i="3" s="1"/>
  <c r="K4442" i="3"/>
  <c r="K4443" i="3" s="1"/>
  <c r="K4645" i="3"/>
  <c r="K4646" i="3" s="1"/>
  <c r="K2406" i="3"/>
  <c r="K2407" i="3" s="1"/>
  <c r="K2582" i="3"/>
  <c r="K2583" i="3" s="1"/>
  <c r="I1107" i="3"/>
  <c r="I1322" i="3"/>
  <c r="I1482" i="3"/>
  <c r="I1424" i="3"/>
  <c r="K40" i="3"/>
  <c r="I42" i="3"/>
  <c r="K42" i="3" s="1"/>
  <c r="I118" i="3"/>
  <c r="K118" i="3" s="1"/>
  <c r="K116" i="3"/>
  <c r="I4252" i="3"/>
  <c r="I4250" i="3"/>
  <c r="I4251" i="3"/>
  <c r="K51" i="3"/>
  <c r="K50" i="3"/>
  <c r="K53" i="3"/>
  <c r="I1214" i="3"/>
  <c r="I1310" i="3"/>
  <c r="I1084" i="3"/>
  <c r="I1092" i="3"/>
  <c r="I1349" i="3"/>
  <c r="I1143" i="3"/>
  <c r="I979" i="3"/>
  <c r="I1276" i="3"/>
  <c r="I1193" i="3"/>
  <c r="I1158" i="3"/>
  <c r="I1028" i="3"/>
  <c r="I1486" i="3"/>
  <c r="I1109" i="3"/>
  <c r="I1498" i="3"/>
  <c r="I1064" i="3"/>
  <c r="I1101" i="3"/>
  <c r="I1181" i="3"/>
  <c r="I1377" i="3"/>
  <c r="I1003" i="3"/>
  <c r="I1327" i="3"/>
  <c r="I1507" i="3"/>
  <c r="I990" i="3"/>
  <c r="I1016" i="3"/>
  <c r="I1356" i="3"/>
  <c r="I1405" i="3"/>
  <c r="I1458" i="3"/>
  <c r="I1261" i="3"/>
  <c r="I1445" i="3"/>
  <c r="I1290" i="3"/>
  <c r="I1237" i="3"/>
  <c r="K4472" i="3"/>
  <c r="K4478" i="3" s="1"/>
  <c r="K4479" i="3" s="1"/>
  <c r="K73" i="3"/>
  <c r="K75" i="3"/>
  <c r="K102" i="3"/>
  <c r="I104" i="3"/>
  <c r="K4459" i="3"/>
  <c r="K4460" i="3" s="1"/>
  <c r="I4461" i="3"/>
  <c r="K4461" i="3" s="1"/>
  <c r="K89" i="3"/>
  <c r="K91" i="3"/>
  <c r="I4180" i="3"/>
  <c r="K4180" i="3" s="1"/>
  <c r="K4179" i="3"/>
  <c r="I3957" i="3"/>
  <c r="I3958" i="3"/>
  <c r="I3956" i="3"/>
  <c r="K9" i="3"/>
  <c r="K12" i="3" s="1"/>
  <c r="K14" i="3" s="1"/>
  <c r="I19" i="3"/>
  <c r="K19" i="3" s="1"/>
  <c r="K624" i="3"/>
  <c r="I625" i="3"/>
  <c r="K625" i="3" s="1"/>
  <c r="I3963" i="3"/>
  <c r="I3962" i="3"/>
  <c r="I3964" i="3"/>
  <c r="K4306" i="3"/>
  <c r="I4308" i="3"/>
  <c r="K4308" i="3" s="1"/>
  <c r="I4309" i="3"/>
  <c r="K4309" i="3" s="1"/>
  <c r="I4307" i="3"/>
  <c r="K4307" i="3" s="1"/>
  <c r="I4300" i="3"/>
  <c r="K4300" i="3" s="1"/>
  <c r="K4299" i="3"/>
  <c r="I1309" i="3"/>
  <c r="I1375" i="3"/>
  <c r="I1443" i="3"/>
  <c r="I1257" i="3"/>
  <c r="I1177" i="3"/>
  <c r="I1155" i="3"/>
  <c r="I1210" i="3"/>
  <c r="I1140" i="3"/>
  <c r="I1233" i="3"/>
  <c r="I1403" i="3"/>
  <c r="I1347" i="3"/>
  <c r="I1423" i="3"/>
  <c r="K963" i="3"/>
  <c r="I964" i="3"/>
  <c r="I17" i="3"/>
  <c r="K17" i="3" s="1"/>
  <c r="K15" i="3"/>
  <c r="I1275" i="3"/>
  <c r="I1157" i="3"/>
  <c r="I978" i="3"/>
  <c r="I1325" i="3"/>
  <c r="I1125" i="3"/>
  <c r="I1099" i="3"/>
  <c r="I1053" i="3"/>
  <c r="I1015" i="3"/>
  <c r="I1037" i="3"/>
  <c r="I1457" i="3"/>
  <c r="I1348" i="3"/>
  <c r="I1142" i="3"/>
  <c r="I1002" i="3"/>
  <c r="I1497" i="3"/>
  <c r="I1359" i="3"/>
  <c r="I1289" i="3"/>
  <c r="I1235" i="3"/>
  <c r="I1091" i="3"/>
  <c r="I1192" i="3"/>
  <c r="I1404" i="3"/>
  <c r="I1065" i="3"/>
  <c r="I989" i="3"/>
  <c r="I1180" i="3"/>
  <c r="I1506" i="3"/>
  <c r="I1027" i="3"/>
  <c r="I1100" i="3"/>
  <c r="I1487" i="3"/>
  <c r="I1083" i="3"/>
  <c r="I1376" i="3"/>
  <c r="I1108" i="3"/>
  <c r="I1496" i="3"/>
  <c r="I1444" i="3"/>
  <c r="I1259" i="3"/>
  <c r="I1213" i="3"/>
  <c r="I392" i="3"/>
  <c r="K4083" i="3"/>
  <c r="K4082" i="3"/>
  <c r="K4081" i="3"/>
  <c r="Q172" i="17"/>
  <c r="P172" i="17"/>
  <c r="O172" i="17"/>
  <c r="N172" i="17"/>
  <c r="M172" i="17"/>
  <c r="L172" i="17"/>
  <c r="K172" i="17"/>
  <c r="G172" i="17"/>
  <c r="F172" i="17"/>
  <c r="E172" i="17"/>
  <c r="K3229" i="3"/>
  <c r="K3228" i="3"/>
  <c r="K3231" i="3"/>
  <c r="K3227" i="3"/>
  <c r="K518" i="3" l="1"/>
  <c r="K4336" i="3"/>
  <c r="K4301" i="3"/>
  <c r="R172" i="17"/>
  <c r="J3236" i="3" s="1"/>
  <c r="K119" i="3"/>
  <c r="K120" i="3" s="1"/>
  <c r="K77" i="3"/>
  <c r="K78" i="3" s="1"/>
  <c r="K92" i="3"/>
  <c r="K93" i="3" s="1"/>
  <c r="K4310" i="3"/>
  <c r="K4181" i="3"/>
  <c r="K4182" i="3" s="1"/>
  <c r="K44" i="3"/>
  <c r="K45" i="3" s="1"/>
  <c r="K54" i="3"/>
  <c r="K55" i="3" s="1"/>
  <c r="K20" i="3"/>
  <c r="K21" i="3" s="1"/>
  <c r="K4465" i="3"/>
  <c r="K4466" i="3" s="1"/>
  <c r="K104" i="3"/>
  <c r="I105" i="3"/>
  <c r="K105" i="3" s="1"/>
  <c r="K392" i="3"/>
  <c r="I393" i="3"/>
  <c r="K393" i="3" s="1"/>
  <c r="K964" i="3"/>
  <c r="I965" i="3"/>
  <c r="I966" i="3" s="1"/>
  <c r="K966" i="3" s="1"/>
  <c r="K3230" i="3"/>
  <c r="K3232" i="3" s="1"/>
  <c r="K3235" i="3" s="1"/>
  <c r="K3236" i="3" l="1"/>
  <c r="K106" i="3"/>
  <c r="K107" i="3" s="1"/>
  <c r="E133" i="3"/>
  <c r="E82" i="3"/>
  <c r="K4294" i="3"/>
  <c r="K394" i="3"/>
  <c r="K395" i="3" s="1"/>
  <c r="E111" i="3"/>
  <c r="E97" i="3"/>
  <c r="K584" i="3"/>
  <c r="K585" i="3" s="1"/>
  <c r="K586" i="3" l="1"/>
  <c r="K3237" i="3"/>
  <c r="K3238" i="3" s="1"/>
  <c r="K305" i="3"/>
  <c r="K2398" i="3"/>
  <c r="K2399" i="3" s="1"/>
  <c r="K2385" i="3"/>
  <c r="K2386" i="3" s="1"/>
  <c r="K2370" i="3"/>
  <c r="K2371" i="3" s="1"/>
  <c r="K4483" i="3"/>
  <c r="K4364" i="3"/>
  <c r="K3615" i="3"/>
  <c r="B3126" i="3"/>
  <c r="B3074" i="3"/>
  <c r="K1690" i="3"/>
  <c r="K2400" i="3" l="1"/>
  <c r="K2387" i="3"/>
  <c r="K2372" i="3"/>
  <c r="K306" i="3"/>
  <c r="E4487" i="3"/>
  <c r="K4487" i="3" s="1"/>
  <c r="K97" i="3"/>
  <c r="K82" i="3"/>
  <c r="K111" i="3"/>
  <c r="K133" i="3"/>
  <c r="K4409" i="3" l="1"/>
  <c r="K4410" i="3" s="1"/>
  <c r="J4127" i="3"/>
  <c r="K4127" i="3" s="1"/>
  <c r="J4126" i="3"/>
  <c r="K4126" i="3" s="1"/>
  <c r="J4125" i="3"/>
  <c r="P114" i="17"/>
  <c r="Q114" i="17"/>
  <c r="P113" i="17"/>
  <c r="Q113" i="17"/>
  <c r="L114" i="17"/>
  <c r="F114" i="17"/>
  <c r="G114" i="17"/>
  <c r="F113" i="17"/>
  <c r="E114" i="17"/>
  <c r="K2346" i="3"/>
  <c r="I4346" i="3"/>
  <c r="I4348" i="3"/>
  <c r="R114" i="17" l="1"/>
  <c r="J2347" i="3" s="1"/>
  <c r="K2347" i="3" s="1"/>
  <c r="K606" i="3" l="1"/>
  <c r="K607" i="3" l="1"/>
  <c r="K608" i="3" s="1"/>
  <c r="K609" i="3" s="1"/>
  <c r="Q18" i="17"/>
  <c r="P18" i="17"/>
  <c r="G18" i="17"/>
  <c r="F18" i="17"/>
  <c r="K590" i="3"/>
  <c r="K593" i="3" s="1"/>
  <c r="R18" i="17" l="1"/>
  <c r="J594" i="3" s="1"/>
  <c r="K594" i="3" s="1"/>
  <c r="K595" i="3" l="1"/>
  <c r="K596" i="3" s="1"/>
  <c r="K3826" i="3"/>
  <c r="K321" i="3" l="1"/>
  <c r="I3859" i="3" l="1"/>
  <c r="I3858" i="3"/>
  <c r="I3857" i="3"/>
  <c r="I3854" i="3"/>
  <c r="I3853" i="3"/>
  <c r="I3852" i="3"/>
  <c r="I3851" i="3"/>
  <c r="I3850" i="3"/>
  <c r="Q224" i="17"/>
  <c r="P224" i="17"/>
  <c r="F224" i="17"/>
  <c r="K2764" i="3"/>
  <c r="R224" i="17" l="1"/>
  <c r="J3862" i="3" s="1"/>
  <c r="K3855" i="3"/>
  <c r="K3859" i="3"/>
  <c r="K3851" i="3"/>
  <c r="K3258" i="3"/>
  <c r="K3861" i="3" l="1"/>
  <c r="K3862" i="3" s="1"/>
  <c r="K2880" i="3" l="1"/>
  <c r="K2849" i="3"/>
  <c r="I1867" i="3"/>
  <c r="K1853" i="3"/>
  <c r="I914" i="3" l="1"/>
  <c r="K914" i="3" s="1"/>
  <c r="I707" i="3"/>
  <c r="K707" i="3" s="1"/>
  <c r="I566" i="3"/>
  <c r="K622" i="3"/>
  <c r="K621" i="3"/>
  <c r="K349" i="3"/>
  <c r="K626" i="3" l="1"/>
  <c r="K627" i="3" s="1"/>
  <c r="K352" i="3"/>
  <c r="I568" i="3"/>
  <c r="I569" i="3" s="1"/>
  <c r="I570" i="3" s="1"/>
  <c r="I571" i="3" s="1"/>
  <c r="I567" i="3"/>
  <c r="I3999" i="3"/>
  <c r="I4000" i="3"/>
  <c r="K4000" i="3" s="1"/>
  <c r="I710" i="3"/>
  <c r="K710" i="3" s="1"/>
  <c r="I709" i="3"/>
  <c r="K709" i="3" s="1"/>
  <c r="I708" i="3"/>
  <c r="K708" i="3" s="1"/>
  <c r="K442" i="3"/>
  <c r="K334" i="3"/>
  <c r="K711" i="3" l="1"/>
  <c r="K354" i="3"/>
  <c r="K355" i="3" s="1"/>
  <c r="E3924" i="3"/>
  <c r="E2790" i="3"/>
  <c r="E2739" i="3"/>
  <c r="K2637" i="3" l="1"/>
  <c r="I2635" i="3"/>
  <c r="I2634" i="3"/>
  <c r="I2633" i="3"/>
  <c r="G1465" i="3"/>
  <c r="K2562" i="3"/>
  <c r="I2533" i="3"/>
  <c r="I2532" i="3"/>
  <c r="K2493" i="3"/>
  <c r="E2488" i="3"/>
  <c r="E2487" i="3"/>
  <c r="E2486" i="3"/>
  <c r="I2486" i="3" s="1"/>
  <c r="E2485" i="3"/>
  <c r="K2085" i="3"/>
  <c r="I2081" i="3"/>
  <c r="I2082" i="3"/>
  <c r="I2083" i="3"/>
  <c r="I2080" i="3"/>
  <c r="E1650" i="3"/>
  <c r="E1657" i="3"/>
  <c r="E1656" i="3"/>
  <c r="E1655" i="3"/>
  <c r="Q149" i="17"/>
  <c r="P149" i="17"/>
  <c r="F149" i="17"/>
  <c r="E2944" i="3"/>
  <c r="K2944" i="3" s="1"/>
  <c r="E2943" i="3"/>
  <c r="K2943" i="3" s="1"/>
  <c r="R149" i="17" l="1"/>
  <c r="J2949" i="3" s="1"/>
  <c r="K2945" i="3"/>
  <c r="K2948" i="3" s="1"/>
  <c r="K2949" i="3" l="1"/>
  <c r="E2823" i="3"/>
  <c r="E2822" i="3"/>
  <c r="K2950" i="3" l="1"/>
  <c r="K2951" i="3" s="1"/>
  <c r="E1518" i="3"/>
  <c r="E1517" i="3"/>
  <c r="E1515" i="3"/>
  <c r="E678" i="3" l="1"/>
  <c r="E677" i="3"/>
  <c r="E655" i="3"/>
  <c r="E652" i="3"/>
  <c r="E639" i="3"/>
  <c r="K1513" i="3"/>
  <c r="E988" i="3"/>
  <c r="E973" i="3"/>
  <c r="J1098" i="3" l="1"/>
  <c r="K3644" i="3" l="1"/>
  <c r="K3640" i="3"/>
  <c r="K3639" i="3"/>
  <c r="K3620" i="3"/>
  <c r="K3607" i="3" l="1"/>
  <c r="K3572" i="3"/>
  <c r="K3274" i="3" l="1"/>
  <c r="I3242" i="3"/>
  <c r="J3114" i="3"/>
  <c r="J3030" i="3"/>
  <c r="K2765" i="3"/>
  <c r="E2741" i="3" l="1"/>
  <c r="K2741" i="3" s="1"/>
  <c r="E2740" i="3"/>
  <c r="G2715" i="3"/>
  <c r="I2709" i="3"/>
  <c r="K2705" i="3" l="1"/>
  <c r="I2667" i="3"/>
  <c r="K2667" i="3" s="1"/>
  <c r="K2535" i="3" l="1"/>
  <c r="E2490" i="3"/>
  <c r="E2489" i="3"/>
  <c r="G2352" i="3"/>
  <c r="G2210" i="3"/>
  <c r="G2209" i="3"/>
  <c r="E2191" i="3"/>
  <c r="E2190" i="3"/>
  <c r="E2189" i="3"/>
  <c r="E2188" i="3"/>
  <c r="E2181" i="3"/>
  <c r="G2155" i="3"/>
  <c r="K2109" i="3"/>
  <c r="E2119" i="3"/>
  <c r="K2124" i="3"/>
  <c r="E2104" i="3"/>
  <c r="K1990" i="3" l="1"/>
  <c r="G4448" i="3"/>
  <c r="K4448" i="3" s="1"/>
  <c r="G4447" i="3"/>
  <c r="K4447" i="3" s="1"/>
  <c r="Q90" i="17"/>
  <c r="P90" i="17"/>
  <c r="O90" i="17"/>
  <c r="N90" i="17"/>
  <c r="I90" i="17"/>
  <c r="H90" i="17"/>
  <c r="G90" i="17"/>
  <c r="F90" i="17"/>
  <c r="G267" i="17"/>
  <c r="F267" i="17"/>
  <c r="R267" i="17" s="1"/>
  <c r="G266" i="17"/>
  <c r="F266" i="17"/>
  <c r="R90" i="17" l="1"/>
  <c r="R266" i="17"/>
  <c r="K4449" i="3"/>
  <c r="K4452" i="3" s="1"/>
  <c r="K4453" i="3" s="1"/>
  <c r="K652" i="3" l="1"/>
  <c r="K1515" i="3" l="1"/>
  <c r="K452" i="3"/>
  <c r="E653" i="3" l="1"/>
  <c r="E670" i="3"/>
  <c r="K795" i="3"/>
  <c r="K799" i="3"/>
  <c r="K1722" i="3"/>
  <c r="K1723" i="3" s="1"/>
  <c r="B562" i="3" l="1"/>
  <c r="E1660" i="3"/>
  <c r="E1659" i="3"/>
  <c r="E1658" i="3"/>
  <c r="E1633" i="3"/>
  <c r="E1634" i="3"/>
  <c r="E1635" i="3"/>
  <c r="E1636" i="3"/>
  <c r="E1637" i="3"/>
  <c r="E1638" i="3"/>
  <c r="E1653" i="3"/>
  <c r="E1652" i="3"/>
  <c r="E1631" i="3"/>
  <c r="E1630" i="3"/>
  <c r="E1628" i="3"/>
  <c r="I1584" i="3"/>
  <c r="J1912" i="3"/>
  <c r="K1907" i="3"/>
  <c r="K1906" i="3"/>
  <c r="E1590" i="3"/>
  <c r="E1593" i="3"/>
  <c r="E1592" i="3"/>
  <c r="E1591" i="3"/>
  <c r="E1586" i="3"/>
  <c r="E1583" i="3"/>
  <c r="I1583" i="3" s="1"/>
  <c r="I1544" i="3"/>
  <c r="K4101" i="3"/>
  <c r="K4102" i="3" s="1"/>
  <c r="K4103" i="3" s="1"/>
  <c r="E1276" i="3"/>
  <c r="K1276" i="3" s="1"/>
  <c r="E979" i="3"/>
  <c r="E990" i="3"/>
  <c r="I977" i="3"/>
  <c r="G754" i="3"/>
  <c r="K562" i="3" l="1"/>
  <c r="K1908" i="3"/>
  <c r="K1911" i="3" s="1"/>
  <c r="K1912" i="3" l="1"/>
  <c r="E734" i="3" l="1"/>
  <c r="J977" i="3" l="1"/>
  <c r="K851" i="3"/>
  <c r="K852" i="3" s="1"/>
  <c r="I3655" i="3" l="1"/>
  <c r="K2839" i="3" l="1"/>
  <c r="K2840" i="3" s="1"/>
  <c r="K2732" i="3"/>
  <c r="K1863" i="3"/>
  <c r="K1764" i="3"/>
  <c r="K1742" i="3"/>
  <c r="K1743" i="3" s="1"/>
  <c r="K447" i="3"/>
  <c r="Q170" i="17"/>
  <c r="P170" i="17"/>
  <c r="N170" i="17"/>
  <c r="L170" i="17"/>
  <c r="F170" i="17"/>
  <c r="J1995" i="3"/>
  <c r="R170" i="17" l="1"/>
  <c r="J3206" i="3" s="1"/>
  <c r="F285" i="17"/>
  <c r="R285" i="17" s="1"/>
  <c r="Q284" i="17"/>
  <c r="P284" i="17"/>
  <c r="F284" i="17"/>
  <c r="Q283" i="17"/>
  <c r="P283" i="17"/>
  <c r="F283" i="17"/>
  <c r="Q282" i="17"/>
  <c r="P282" i="17"/>
  <c r="F282" i="17"/>
  <c r="F281" i="17"/>
  <c r="R281" i="17" s="1"/>
  <c r="F280" i="17"/>
  <c r="R280" i="17" s="1"/>
  <c r="F279" i="17"/>
  <c r="R279" i="17" s="1"/>
  <c r="J4612" i="3" s="1"/>
  <c r="N278" i="17"/>
  <c r="G278" i="17"/>
  <c r="F278" i="17"/>
  <c r="N277" i="17"/>
  <c r="F277" i="17"/>
  <c r="N276" i="17"/>
  <c r="F276" i="17"/>
  <c r="F275" i="17"/>
  <c r="R275" i="17" s="1"/>
  <c r="J4580" i="3" s="1"/>
  <c r="Q274" i="17"/>
  <c r="P274" i="17"/>
  <c r="G274" i="17"/>
  <c r="F274" i="17"/>
  <c r="Q273" i="17"/>
  <c r="P273" i="17"/>
  <c r="N273" i="17"/>
  <c r="J273" i="17"/>
  <c r="H273" i="17"/>
  <c r="G273" i="17"/>
  <c r="F273" i="17"/>
  <c r="R272" i="17"/>
  <c r="Q270" i="17"/>
  <c r="P270" i="17"/>
  <c r="F270" i="17"/>
  <c r="Q269" i="17"/>
  <c r="P269" i="17"/>
  <c r="F269" i="17"/>
  <c r="Q268" i="17"/>
  <c r="P268" i="17"/>
  <c r="F268" i="17"/>
  <c r="F265" i="17"/>
  <c r="R265" i="17" s="1"/>
  <c r="F264" i="17"/>
  <c r="R264" i="17" s="1"/>
  <c r="J4392" i="3" s="1"/>
  <c r="Q263" i="17"/>
  <c r="P263" i="17"/>
  <c r="F263" i="17"/>
  <c r="Q262" i="17"/>
  <c r="P262" i="17"/>
  <c r="F262" i="17"/>
  <c r="Q261" i="17"/>
  <c r="P261" i="17"/>
  <c r="G261" i="17"/>
  <c r="F261" i="17"/>
  <c r="Q260" i="17"/>
  <c r="P260" i="17"/>
  <c r="G260" i="17"/>
  <c r="F260" i="17"/>
  <c r="Q259" i="17"/>
  <c r="P259" i="17"/>
  <c r="F259" i="17"/>
  <c r="Q258" i="17"/>
  <c r="P258" i="17"/>
  <c r="F258" i="17"/>
  <c r="Q257" i="17"/>
  <c r="P257" i="17"/>
  <c r="F257" i="17"/>
  <c r="F256" i="17"/>
  <c r="R256" i="17" s="1"/>
  <c r="Q255" i="17"/>
  <c r="P255" i="17"/>
  <c r="G255" i="17"/>
  <c r="F255" i="17"/>
  <c r="F254" i="17"/>
  <c r="R254" i="17" s="1"/>
  <c r="Q253" i="17"/>
  <c r="P253" i="17"/>
  <c r="G253" i="17"/>
  <c r="F253" i="17"/>
  <c r="Q252" i="17"/>
  <c r="P252" i="17"/>
  <c r="G252" i="17"/>
  <c r="F252" i="17"/>
  <c r="Q251" i="17"/>
  <c r="P251" i="17"/>
  <c r="G251" i="17"/>
  <c r="F251" i="17"/>
  <c r="Q250" i="17"/>
  <c r="P250" i="17"/>
  <c r="G250" i="17"/>
  <c r="F250" i="17"/>
  <c r="Q249" i="17"/>
  <c r="P249" i="17"/>
  <c r="F249" i="17"/>
  <c r="Q248" i="17"/>
  <c r="P248" i="17"/>
  <c r="F248" i="17"/>
  <c r="Q247" i="17"/>
  <c r="P247" i="17"/>
  <c r="F247" i="17"/>
  <c r="Q246" i="17"/>
  <c r="P246" i="17"/>
  <c r="F246" i="17"/>
  <c r="Q245" i="17"/>
  <c r="P245" i="17"/>
  <c r="G245" i="17"/>
  <c r="F245" i="17"/>
  <c r="F244" i="17"/>
  <c r="R244" i="17" s="1"/>
  <c r="J4163" i="3" s="1"/>
  <c r="Q243" i="17"/>
  <c r="P243" i="17"/>
  <c r="F243" i="17"/>
  <c r="Q242" i="17"/>
  <c r="P242" i="17"/>
  <c r="G242" i="17"/>
  <c r="F242" i="17"/>
  <c r="Q241" i="17"/>
  <c r="P241" i="17"/>
  <c r="G241" i="17"/>
  <c r="F241" i="17"/>
  <c r="Q240" i="17"/>
  <c r="P240" i="17"/>
  <c r="G240" i="17"/>
  <c r="F240" i="17"/>
  <c r="Q239" i="17"/>
  <c r="P239" i="17"/>
  <c r="G239" i="17"/>
  <c r="F239" i="17"/>
  <c r="G238" i="17"/>
  <c r="F238" i="17"/>
  <c r="Q237" i="17"/>
  <c r="P237" i="17"/>
  <c r="F237" i="17"/>
  <c r="Q236" i="17"/>
  <c r="P236" i="17"/>
  <c r="F236" i="17"/>
  <c r="Q235" i="17"/>
  <c r="P235" i="17"/>
  <c r="F235" i="17"/>
  <c r="Q234" i="17"/>
  <c r="P234" i="17"/>
  <c r="G234" i="17"/>
  <c r="F234" i="17"/>
  <c r="Q233" i="17"/>
  <c r="P233" i="17"/>
  <c r="G233" i="17"/>
  <c r="F233" i="17"/>
  <c r="Q232" i="17"/>
  <c r="P232" i="17"/>
  <c r="G232" i="17"/>
  <c r="F232" i="17"/>
  <c r="Q231" i="17"/>
  <c r="P231" i="17"/>
  <c r="F231" i="17"/>
  <c r="Q230" i="17"/>
  <c r="P230" i="17"/>
  <c r="F230" i="17"/>
  <c r="Q229" i="17"/>
  <c r="P229" i="17"/>
  <c r="F229" i="17"/>
  <c r="Q228" i="17"/>
  <c r="P228" i="17"/>
  <c r="F228" i="17"/>
  <c r="Q227" i="17"/>
  <c r="P227" i="17"/>
  <c r="F227" i="17"/>
  <c r="Q226" i="17"/>
  <c r="P226" i="17"/>
  <c r="F226" i="17"/>
  <c r="Q225" i="17"/>
  <c r="P225" i="17"/>
  <c r="F225" i="17"/>
  <c r="Q223" i="17"/>
  <c r="P223" i="17"/>
  <c r="F223" i="17"/>
  <c r="Q221" i="17"/>
  <c r="P221" i="17"/>
  <c r="G221" i="17"/>
  <c r="F221" i="17"/>
  <c r="Q220" i="17"/>
  <c r="P220" i="17"/>
  <c r="G220" i="17"/>
  <c r="F220" i="17"/>
  <c r="Q219" i="17"/>
  <c r="P219" i="17"/>
  <c r="G219" i="17"/>
  <c r="F219" i="17"/>
  <c r="Q218" i="17"/>
  <c r="P218" i="17"/>
  <c r="F218" i="17"/>
  <c r="Q217" i="17"/>
  <c r="P217" i="17"/>
  <c r="G217" i="17"/>
  <c r="F217" i="17"/>
  <c r="Q215" i="17"/>
  <c r="P215" i="17"/>
  <c r="O215" i="17"/>
  <c r="N215" i="17"/>
  <c r="M215" i="17"/>
  <c r="L215" i="17"/>
  <c r="K215" i="17"/>
  <c r="J215" i="17"/>
  <c r="I215" i="17"/>
  <c r="H215" i="17"/>
  <c r="G215" i="17"/>
  <c r="F215" i="17"/>
  <c r="E215" i="17"/>
  <c r="G214" i="17"/>
  <c r="F214" i="17"/>
  <c r="G213" i="17"/>
  <c r="F213" i="17"/>
  <c r="G212" i="17"/>
  <c r="F212" i="17"/>
  <c r="F211" i="17"/>
  <c r="R211" i="17" s="1"/>
  <c r="Q210" i="17"/>
  <c r="P210" i="17"/>
  <c r="G210" i="17"/>
  <c r="F210" i="17"/>
  <c r="G209" i="17"/>
  <c r="F209" i="17"/>
  <c r="F208" i="17"/>
  <c r="R208" i="17" s="1"/>
  <c r="Q207" i="17"/>
  <c r="P207" i="17"/>
  <c r="G207" i="17"/>
  <c r="F207" i="17"/>
  <c r="F206" i="17"/>
  <c r="R206" i="17" s="1"/>
  <c r="J3624" i="3" s="1"/>
  <c r="F205" i="17"/>
  <c r="R205" i="17" s="1"/>
  <c r="Q204" i="17"/>
  <c r="P204" i="17"/>
  <c r="F204" i="17"/>
  <c r="Q203" i="17"/>
  <c r="P203" i="17"/>
  <c r="G203" i="17"/>
  <c r="F203" i="17"/>
  <c r="Q202" i="17"/>
  <c r="P202" i="17"/>
  <c r="G202" i="17"/>
  <c r="F202" i="17"/>
  <c r="Q201" i="17"/>
  <c r="P201" i="17"/>
  <c r="N201" i="17"/>
  <c r="L201" i="17"/>
  <c r="G201" i="17"/>
  <c r="F201" i="17"/>
  <c r="Q200" i="17"/>
  <c r="P200" i="17"/>
  <c r="O200" i="17"/>
  <c r="N200" i="17"/>
  <c r="M200" i="17"/>
  <c r="L200" i="17"/>
  <c r="K200" i="17"/>
  <c r="J200" i="17"/>
  <c r="I200" i="17"/>
  <c r="H200" i="17"/>
  <c r="G200" i="17"/>
  <c r="F200" i="17"/>
  <c r="E200" i="17"/>
  <c r="Q199" i="17"/>
  <c r="P199" i="17"/>
  <c r="N199" i="17"/>
  <c r="L199" i="17"/>
  <c r="G199" i="17"/>
  <c r="F199" i="17"/>
  <c r="F198" i="17"/>
  <c r="R198" i="17" s="1"/>
  <c r="J3530" i="3" s="1"/>
  <c r="F197" i="17"/>
  <c r="R197" i="17" s="1"/>
  <c r="J3520" i="3" s="1"/>
  <c r="F196" i="17"/>
  <c r="R196" i="17" s="1"/>
  <c r="J3512" i="3" s="1"/>
  <c r="J195" i="17"/>
  <c r="I195" i="17"/>
  <c r="H195" i="17"/>
  <c r="F195" i="17"/>
  <c r="Q194" i="17"/>
  <c r="P194" i="17"/>
  <c r="N194" i="17"/>
  <c r="J194" i="17"/>
  <c r="G194" i="17"/>
  <c r="F194" i="17"/>
  <c r="Q192" i="17"/>
  <c r="P192" i="17"/>
  <c r="O192" i="17"/>
  <c r="N192" i="17"/>
  <c r="M192" i="17"/>
  <c r="K192" i="17"/>
  <c r="J192" i="17"/>
  <c r="I192" i="17"/>
  <c r="H192" i="17"/>
  <c r="G192" i="17"/>
  <c r="F192" i="17"/>
  <c r="E192" i="17"/>
  <c r="Q191" i="17"/>
  <c r="P191" i="17"/>
  <c r="O191" i="17"/>
  <c r="N191" i="17"/>
  <c r="L191" i="17"/>
  <c r="J191" i="17"/>
  <c r="I191" i="17"/>
  <c r="H191" i="17"/>
  <c r="G191" i="17"/>
  <c r="F191" i="17"/>
  <c r="Q190" i="17"/>
  <c r="P190" i="17"/>
  <c r="O190" i="17"/>
  <c r="N190" i="17"/>
  <c r="J190" i="17"/>
  <c r="I190" i="17"/>
  <c r="H190" i="17"/>
  <c r="G190" i="17"/>
  <c r="F190" i="17"/>
  <c r="Q189" i="17"/>
  <c r="P189" i="17"/>
  <c r="O189" i="17"/>
  <c r="N189" i="17"/>
  <c r="M189" i="17"/>
  <c r="L189" i="17"/>
  <c r="J189" i="17"/>
  <c r="I189" i="17"/>
  <c r="H189" i="17"/>
  <c r="G189" i="17"/>
  <c r="F189" i="17"/>
  <c r="E189" i="17"/>
  <c r="Q188" i="17"/>
  <c r="P188" i="17"/>
  <c r="O188" i="17"/>
  <c r="N188" i="17"/>
  <c r="M188" i="17"/>
  <c r="L188" i="17"/>
  <c r="K188" i="17"/>
  <c r="J188" i="17"/>
  <c r="I188" i="17"/>
  <c r="H188" i="17"/>
  <c r="G188" i="17"/>
  <c r="F188" i="17"/>
  <c r="E188" i="17"/>
  <c r="Q187" i="17"/>
  <c r="P187" i="17"/>
  <c r="O187" i="17"/>
  <c r="N187" i="17"/>
  <c r="M187" i="17"/>
  <c r="J187" i="17"/>
  <c r="I187" i="17"/>
  <c r="H187" i="17"/>
  <c r="G187" i="17"/>
  <c r="F187" i="17"/>
  <c r="E187" i="17"/>
  <c r="O186" i="17"/>
  <c r="N186" i="17"/>
  <c r="M186" i="17"/>
  <c r="L186" i="17"/>
  <c r="K186" i="17"/>
  <c r="J186" i="17"/>
  <c r="I186" i="17"/>
  <c r="H186" i="17"/>
  <c r="G186" i="17"/>
  <c r="F186" i="17"/>
  <c r="E186" i="17"/>
  <c r="Q185" i="17"/>
  <c r="P185" i="17"/>
  <c r="O185" i="17"/>
  <c r="N185" i="17"/>
  <c r="M185" i="17"/>
  <c r="L185" i="17"/>
  <c r="K185" i="17"/>
  <c r="J185" i="17"/>
  <c r="I185" i="17"/>
  <c r="H185" i="17"/>
  <c r="G185" i="17"/>
  <c r="F185" i="17"/>
  <c r="E185" i="17"/>
  <c r="H184" i="17"/>
  <c r="F184" i="17"/>
  <c r="F183" i="17"/>
  <c r="R183" i="17" s="1"/>
  <c r="J3366" i="3" s="1"/>
  <c r="F181" i="17"/>
  <c r="R181" i="17" s="1"/>
  <c r="J3340" i="3" s="1"/>
  <c r="Q180" i="17"/>
  <c r="P180" i="17"/>
  <c r="O180" i="17"/>
  <c r="N180" i="17"/>
  <c r="M180" i="17"/>
  <c r="L180" i="17"/>
  <c r="K180" i="17"/>
  <c r="J180" i="17"/>
  <c r="I180" i="17"/>
  <c r="H180" i="17"/>
  <c r="G180" i="17"/>
  <c r="F180" i="17"/>
  <c r="E180" i="17"/>
  <c r="N179" i="17"/>
  <c r="L179" i="17"/>
  <c r="F179" i="17"/>
  <c r="E179" i="17"/>
  <c r="F178" i="17"/>
  <c r="R178" i="17" s="1"/>
  <c r="J3305" i="3" s="1"/>
  <c r="F177" i="17"/>
  <c r="R177" i="17" s="1"/>
  <c r="J3289" i="3" s="1"/>
  <c r="F176" i="17"/>
  <c r="R176" i="17" s="1"/>
  <c r="Q175" i="17"/>
  <c r="P175" i="17"/>
  <c r="O175" i="17"/>
  <c r="N175" i="17"/>
  <c r="M175" i="17"/>
  <c r="L175" i="17"/>
  <c r="K175" i="17"/>
  <c r="J175" i="17"/>
  <c r="I175" i="17"/>
  <c r="H175" i="17"/>
  <c r="G175" i="17"/>
  <c r="F175" i="17"/>
  <c r="E175" i="17"/>
  <c r="Q174" i="17"/>
  <c r="P174" i="17"/>
  <c r="N174" i="17"/>
  <c r="M174" i="17"/>
  <c r="L174" i="17"/>
  <c r="K174" i="17"/>
  <c r="J174" i="17"/>
  <c r="I174" i="17"/>
  <c r="H174" i="17"/>
  <c r="G174" i="17"/>
  <c r="F174" i="17"/>
  <c r="E174" i="17"/>
  <c r="F173" i="17"/>
  <c r="R173" i="17" s="1"/>
  <c r="Q171" i="17"/>
  <c r="P171" i="17"/>
  <c r="O171" i="17"/>
  <c r="N171" i="17"/>
  <c r="M171" i="17"/>
  <c r="L171" i="17"/>
  <c r="K171" i="17"/>
  <c r="J171" i="17"/>
  <c r="I171" i="17"/>
  <c r="H171" i="17"/>
  <c r="G171" i="17"/>
  <c r="F171" i="17"/>
  <c r="E171" i="17"/>
  <c r="Q169" i="17"/>
  <c r="P169" i="17"/>
  <c r="O169" i="17"/>
  <c r="N169" i="17"/>
  <c r="M169" i="17"/>
  <c r="L169" i="17"/>
  <c r="J169" i="17"/>
  <c r="I169" i="17"/>
  <c r="H169" i="17"/>
  <c r="G169" i="17"/>
  <c r="F169" i="17"/>
  <c r="E169" i="17"/>
  <c r="Q168" i="17"/>
  <c r="P168" i="17"/>
  <c r="N168" i="17"/>
  <c r="L168" i="17"/>
  <c r="F168" i="17"/>
  <c r="Q167" i="17"/>
  <c r="P167" i="17"/>
  <c r="O167" i="17"/>
  <c r="N167" i="17"/>
  <c r="M167" i="17"/>
  <c r="K167" i="17"/>
  <c r="J167" i="17"/>
  <c r="I167" i="17"/>
  <c r="H167" i="17"/>
  <c r="G167" i="17"/>
  <c r="F167" i="17"/>
  <c r="E167" i="17"/>
  <c r="Q166" i="17"/>
  <c r="P166" i="17"/>
  <c r="N166" i="17"/>
  <c r="M166" i="17"/>
  <c r="L166" i="17"/>
  <c r="K166" i="17"/>
  <c r="J166" i="17"/>
  <c r="I166" i="17"/>
  <c r="H166" i="17"/>
  <c r="G166" i="17"/>
  <c r="F166" i="17"/>
  <c r="Q165" i="17"/>
  <c r="P165" i="17"/>
  <c r="N165" i="17"/>
  <c r="J165" i="17"/>
  <c r="I165" i="17"/>
  <c r="H165" i="17"/>
  <c r="G165" i="17"/>
  <c r="F165" i="17"/>
  <c r="Q164" i="17"/>
  <c r="P164" i="17"/>
  <c r="O164" i="17"/>
  <c r="N164" i="17"/>
  <c r="M164" i="17"/>
  <c r="L164" i="17"/>
  <c r="K164" i="17"/>
  <c r="J164" i="17"/>
  <c r="I164" i="17"/>
  <c r="H164" i="17"/>
  <c r="G164" i="17"/>
  <c r="F164" i="17"/>
  <c r="E164" i="17"/>
  <c r="Q163" i="17"/>
  <c r="P163" i="17"/>
  <c r="N163" i="17"/>
  <c r="M163" i="17"/>
  <c r="L163" i="17"/>
  <c r="F163" i="17"/>
  <c r="Q162" i="17"/>
  <c r="P162" i="17"/>
  <c r="N162" i="17"/>
  <c r="J162" i="17"/>
  <c r="I162" i="17"/>
  <c r="H162" i="17"/>
  <c r="F162" i="17"/>
  <c r="N161" i="17"/>
  <c r="J161" i="17"/>
  <c r="F161" i="17"/>
  <c r="Q160" i="17"/>
  <c r="P160" i="17"/>
  <c r="O160" i="17"/>
  <c r="N160" i="17"/>
  <c r="M160" i="17"/>
  <c r="L160" i="17"/>
  <c r="K160" i="17"/>
  <c r="J160" i="17"/>
  <c r="I160" i="17"/>
  <c r="H160" i="17"/>
  <c r="G160" i="17"/>
  <c r="F160" i="17"/>
  <c r="E160" i="17"/>
  <c r="Q159" i="17"/>
  <c r="P159" i="17"/>
  <c r="O159" i="17"/>
  <c r="N159" i="17"/>
  <c r="M159" i="17"/>
  <c r="L159" i="17"/>
  <c r="K159" i="17"/>
  <c r="J159" i="17"/>
  <c r="G159" i="17"/>
  <c r="F159" i="17"/>
  <c r="E159" i="17"/>
  <c r="F158" i="17"/>
  <c r="R158" i="17" s="1"/>
  <c r="J3057" i="3" s="1"/>
  <c r="Q157" i="17"/>
  <c r="P157" i="17"/>
  <c r="N157" i="17"/>
  <c r="M157" i="17"/>
  <c r="L157" i="17"/>
  <c r="J157" i="17"/>
  <c r="I157" i="17"/>
  <c r="H157" i="17"/>
  <c r="G157" i="17"/>
  <c r="F157" i="17"/>
  <c r="Q156" i="17"/>
  <c r="P156" i="17"/>
  <c r="N156" i="17"/>
  <c r="M156" i="17"/>
  <c r="L156" i="17"/>
  <c r="J156" i="17"/>
  <c r="I156" i="17"/>
  <c r="H156" i="17"/>
  <c r="G156" i="17"/>
  <c r="F156" i="17"/>
  <c r="Q155" i="17"/>
  <c r="P155" i="17"/>
  <c r="O155" i="17"/>
  <c r="N155" i="17"/>
  <c r="M155" i="17"/>
  <c r="L155" i="17"/>
  <c r="K155" i="17"/>
  <c r="J155" i="17"/>
  <c r="I155" i="17"/>
  <c r="H155" i="17"/>
  <c r="G155" i="17"/>
  <c r="F155" i="17"/>
  <c r="E155" i="17"/>
  <c r="Q154" i="17"/>
  <c r="P154" i="17"/>
  <c r="O154" i="17"/>
  <c r="N154" i="17"/>
  <c r="M154" i="17"/>
  <c r="L154" i="17"/>
  <c r="K154" i="17"/>
  <c r="J154" i="17"/>
  <c r="I154" i="17"/>
  <c r="H154" i="17"/>
  <c r="G154" i="17"/>
  <c r="F154" i="17"/>
  <c r="E154" i="17"/>
  <c r="Q153" i="17"/>
  <c r="P153" i="17"/>
  <c r="O153" i="17"/>
  <c r="N153" i="17"/>
  <c r="M153" i="17"/>
  <c r="L153" i="17"/>
  <c r="K153" i="17"/>
  <c r="J153" i="17"/>
  <c r="I153" i="17"/>
  <c r="H153" i="17"/>
  <c r="G153" i="17"/>
  <c r="F153" i="17"/>
  <c r="E153" i="17"/>
  <c r="Q152" i="17"/>
  <c r="P152" i="17"/>
  <c r="O152" i="17"/>
  <c r="N152" i="17"/>
  <c r="M152" i="17"/>
  <c r="L152" i="17"/>
  <c r="K152" i="17"/>
  <c r="J152" i="17"/>
  <c r="I152" i="17"/>
  <c r="H152" i="17"/>
  <c r="G152" i="17"/>
  <c r="F152" i="17"/>
  <c r="E152" i="17"/>
  <c r="Q151" i="17"/>
  <c r="P151" i="17"/>
  <c r="O151" i="17"/>
  <c r="N151" i="17"/>
  <c r="M151" i="17"/>
  <c r="L151" i="17"/>
  <c r="K151" i="17"/>
  <c r="J151" i="17"/>
  <c r="I151" i="17"/>
  <c r="H151" i="17"/>
  <c r="G151" i="17"/>
  <c r="F151" i="17"/>
  <c r="E151" i="17"/>
  <c r="Q150" i="17"/>
  <c r="P150" i="17"/>
  <c r="O150" i="17"/>
  <c r="N150" i="17"/>
  <c r="M150" i="17"/>
  <c r="L150" i="17"/>
  <c r="K150" i="17"/>
  <c r="J150" i="17"/>
  <c r="I150" i="17"/>
  <c r="H150" i="17"/>
  <c r="G150" i="17"/>
  <c r="F150" i="17"/>
  <c r="E150" i="17"/>
  <c r="F148" i="17"/>
  <c r="R148" i="17" s="1"/>
  <c r="J2939" i="3" s="1"/>
  <c r="Q147" i="17"/>
  <c r="P147" i="17"/>
  <c r="N147" i="17"/>
  <c r="L147" i="17"/>
  <c r="K147" i="17"/>
  <c r="G147" i="17"/>
  <c r="F147" i="17"/>
  <c r="J146" i="17"/>
  <c r="H146" i="17"/>
  <c r="G146" i="17"/>
  <c r="F146" i="17"/>
  <c r="Q145" i="17"/>
  <c r="P145" i="17"/>
  <c r="H145" i="17"/>
  <c r="F145" i="17"/>
  <c r="Q144" i="17"/>
  <c r="M144" i="17"/>
  <c r="G144" i="17"/>
  <c r="F144" i="17"/>
  <c r="E144" i="17"/>
  <c r="Q143" i="17"/>
  <c r="P143" i="17"/>
  <c r="O143" i="17"/>
  <c r="N143" i="17"/>
  <c r="M143" i="17"/>
  <c r="L143" i="17"/>
  <c r="K143" i="17"/>
  <c r="J143" i="17"/>
  <c r="I143" i="17"/>
  <c r="H143" i="17"/>
  <c r="G143" i="17"/>
  <c r="F143" i="17"/>
  <c r="E143" i="17"/>
  <c r="Q142" i="17"/>
  <c r="P142" i="17"/>
  <c r="F142" i="17"/>
  <c r="F141" i="17"/>
  <c r="R141" i="17" s="1"/>
  <c r="J2818" i="3" s="1"/>
  <c r="F140" i="17"/>
  <c r="R140" i="17" s="1"/>
  <c r="J2808" i="3" s="1"/>
  <c r="F139" i="17"/>
  <c r="R139" i="17" s="1"/>
  <c r="J2796" i="3" s="1"/>
  <c r="Q138" i="17"/>
  <c r="P138" i="17"/>
  <c r="F138" i="17"/>
  <c r="F137" i="17"/>
  <c r="R137" i="17" s="1"/>
  <c r="J2774" i="3" s="1"/>
  <c r="F136" i="17"/>
  <c r="R136" i="17" s="1"/>
  <c r="F135" i="17"/>
  <c r="R135" i="17" s="1"/>
  <c r="J2747" i="3" s="1"/>
  <c r="Q134" i="17"/>
  <c r="P134" i="17"/>
  <c r="O134" i="17"/>
  <c r="N134" i="17"/>
  <c r="M134" i="17"/>
  <c r="L134" i="17"/>
  <c r="K134" i="17"/>
  <c r="J134" i="17"/>
  <c r="I134" i="17"/>
  <c r="H134" i="17"/>
  <c r="G134" i="17"/>
  <c r="F134" i="17"/>
  <c r="E134" i="17"/>
  <c r="Q133" i="17"/>
  <c r="P133" i="17"/>
  <c r="O133" i="17"/>
  <c r="J133" i="17"/>
  <c r="I133" i="17"/>
  <c r="H133" i="17"/>
  <c r="G133" i="17"/>
  <c r="F133" i="17"/>
  <c r="Q132" i="17"/>
  <c r="P132" i="17"/>
  <c r="G132" i="17"/>
  <c r="F132" i="17"/>
  <c r="Q131" i="17"/>
  <c r="P131" i="17"/>
  <c r="O131" i="17"/>
  <c r="N131" i="17"/>
  <c r="M131" i="17"/>
  <c r="L131" i="17"/>
  <c r="J131" i="17"/>
  <c r="I131" i="17"/>
  <c r="H131" i="17"/>
  <c r="G131" i="17"/>
  <c r="F131" i="17"/>
  <c r="E131" i="17"/>
  <c r="Q130" i="17"/>
  <c r="P130" i="17"/>
  <c r="O130" i="17"/>
  <c r="N130" i="17"/>
  <c r="M130" i="17"/>
  <c r="L130" i="17"/>
  <c r="K130" i="17"/>
  <c r="J130" i="17"/>
  <c r="I130" i="17"/>
  <c r="H130" i="17"/>
  <c r="G130" i="17"/>
  <c r="F130" i="17"/>
  <c r="E130" i="17"/>
  <c r="Q129" i="17"/>
  <c r="P129" i="17"/>
  <c r="O129" i="17"/>
  <c r="N129" i="17"/>
  <c r="M129" i="17"/>
  <c r="L129" i="17"/>
  <c r="K129" i="17"/>
  <c r="J129" i="17"/>
  <c r="I129" i="17"/>
  <c r="H129" i="17"/>
  <c r="G129" i="17"/>
  <c r="F129" i="17"/>
  <c r="E129" i="17"/>
  <c r="Q128" i="17"/>
  <c r="P128" i="17"/>
  <c r="O128" i="17"/>
  <c r="N128" i="17"/>
  <c r="M128" i="17"/>
  <c r="L128" i="17"/>
  <c r="K128" i="17"/>
  <c r="J128" i="17"/>
  <c r="I128" i="17"/>
  <c r="H128" i="17"/>
  <c r="G128" i="17"/>
  <c r="F128" i="17"/>
  <c r="E128" i="17"/>
  <c r="Q127" i="17"/>
  <c r="P127" i="17"/>
  <c r="F127" i="17"/>
  <c r="Q126" i="17"/>
  <c r="P126" i="17"/>
  <c r="F126" i="17"/>
  <c r="Q125" i="17"/>
  <c r="P125" i="17"/>
  <c r="N125" i="17"/>
  <c r="M125" i="17"/>
  <c r="J125" i="17"/>
  <c r="F125" i="17"/>
  <c r="Q124" i="17"/>
  <c r="P124" i="17"/>
  <c r="F124" i="17"/>
  <c r="Q123" i="17"/>
  <c r="P123" i="17"/>
  <c r="J123" i="17"/>
  <c r="G123" i="17"/>
  <c r="F123" i="17"/>
  <c r="Q122" i="17"/>
  <c r="P122" i="17"/>
  <c r="N122" i="17"/>
  <c r="M122" i="17"/>
  <c r="J122" i="17"/>
  <c r="I122" i="17"/>
  <c r="H122" i="17"/>
  <c r="G122" i="17"/>
  <c r="F122" i="17"/>
  <c r="Q121" i="17"/>
  <c r="P121" i="17"/>
  <c r="N121" i="17"/>
  <c r="M121" i="17"/>
  <c r="J121" i="17"/>
  <c r="I121" i="17"/>
  <c r="H121" i="17"/>
  <c r="G121" i="17"/>
  <c r="F121" i="17"/>
  <c r="Q120" i="17"/>
  <c r="P120" i="17"/>
  <c r="N120" i="17"/>
  <c r="M120" i="17"/>
  <c r="J120" i="17"/>
  <c r="I120" i="17"/>
  <c r="G120" i="17"/>
  <c r="F120" i="17"/>
  <c r="Q119" i="17"/>
  <c r="P119" i="17"/>
  <c r="N119" i="17"/>
  <c r="M119" i="17"/>
  <c r="J119" i="17"/>
  <c r="I119" i="17"/>
  <c r="H119" i="17"/>
  <c r="G119" i="17"/>
  <c r="F119" i="17"/>
  <c r="Q118" i="17"/>
  <c r="P118" i="17"/>
  <c r="F118" i="17"/>
  <c r="F117" i="17"/>
  <c r="R117" i="17" s="1"/>
  <c r="Q116" i="17"/>
  <c r="P116" i="17"/>
  <c r="O116" i="17"/>
  <c r="N116" i="17"/>
  <c r="M116" i="17"/>
  <c r="J116" i="17"/>
  <c r="I116" i="17"/>
  <c r="H116" i="17"/>
  <c r="G116" i="17"/>
  <c r="F116" i="17"/>
  <c r="F115" i="17"/>
  <c r="R115" i="17" s="1"/>
  <c r="O113" i="17"/>
  <c r="N113" i="17"/>
  <c r="M113" i="17"/>
  <c r="L113" i="17"/>
  <c r="K113" i="17"/>
  <c r="J113" i="17"/>
  <c r="I113" i="17"/>
  <c r="H113" i="17"/>
  <c r="G113" i="17"/>
  <c r="E113" i="17"/>
  <c r="Q112" i="17"/>
  <c r="P112" i="17"/>
  <c r="O112" i="17"/>
  <c r="N112" i="17"/>
  <c r="M112" i="17"/>
  <c r="L112" i="17"/>
  <c r="K112" i="17"/>
  <c r="J112" i="17"/>
  <c r="I112" i="17"/>
  <c r="H112" i="17"/>
  <c r="G112" i="17"/>
  <c r="F112" i="17"/>
  <c r="E112" i="17"/>
  <c r="Q111" i="17"/>
  <c r="P111" i="17"/>
  <c r="O111" i="17"/>
  <c r="N111" i="17"/>
  <c r="M111" i="17"/>
  <c r="L111" i="17"/>
  <c r="K111" i="17"/>
  <c r="J111" i="17"/>
  <c r="I111" i="17"/>
  <c r="H111" i="17"/>
  <c r="F111" i="17"/>
  <c r="E111" i="17"/>
  <c r="Q110" i="17"/>
  <c r="P110" i="17"/>
  <c r="O110" i="17"/>
  <c r="N110" i="17"/>
  <c r="M110" i="17"/>
  <c r="L110" i="17"/>
  <c r="K110" i="17"/>
  <c r="J110" i="17"/>
  <c r="I110" i="17"/>
  <c r="H110" i="17"/>
  <c r="G110" i="17"/>
  <c r="F110" i="17"/>
  <c r="E110" i="17"/>
  <c r="Q109" i="17"/>
  <c r="P109" i="17"/>
  <c r="O109" i="17"/>
  <c r="N109" i="17"/>
  <c r="M109" i="17"/>
  <c r="L109" i="17"/>
  <c r="K109" i="17"/>
  <c r="J109" i="17"/>
  <c r="I109" i="17"/>
  <c r="H109" i="17"/>
  <c r="G109" i="17"/>
  <c r="F109" i="17"/>
  <c r="E109" i="17"/>
  <c r="Q108" i="17"/>
  <c r="P108" i="17"/>
  <c r="O108" i="17"/>
  <c r="N108" i="17"/>
  <c r="M108" i="17"/>
  <c r="L108" i="17"/>
  <c r="K108" i="17"/>
  <c r="J108" i="17"/>
  <c r="I108" i="17"/>
  <c r="H108" i="17"/>
  <c r="G108" i="17"/>
  <c r="F108" i="17"/>
  <c r="E108" i="17"/>
  <c r="Q107" i="17"/>
  <c r="P107" i="17"/>
  <c r="O107" i="17"/>
  <c r="N107" i="17"/>
  <c r="M107" i="17"/>
  <c r="L107" i="17"/>
  <c r="K107" i="17"/>
  <c r="J107" i="17"/>
  <c r="I107" i="17"/>
  <c r="H107" i="17"/>
  <c r="G107" i="17"/>
  <c r="F107" i="17"/>
  <c r="E107" i="17"/>
  <c r="Q106" i="17"/>
  <c r="P106" i="17"/>
  <c r="O106" i="17"/>
  <c r="N106" i="17"/>
  <c r="M106" i="17"/>
  <c r="L106" i="17"/>
  <c r="K106" i="17"/>
  <c r="J106" i="17"/>
  <c r="I106" i="17"/>
  <c r="H106" i="17"/>
  <c r="G106" i="17"/>
  <c r="F106" i="17"/>
  <c r="E106" i="17"/>
  <c r="Q105" i="17"/>
  <c r="P105" i="17"/>
  <c r="O105" i="17"/>
  <c r="N105" i="17"/>
  <c r="M105" i="17"/>
  <c r="L105" i="17"/>
  <c r="K105" i="17"/>
  <c r="J105" i="17"/>
  <c r="I105" i="17"/>
  <c r="H105" i="17"/>
  <c r="G105" i="17"/>
  <c r="F105" i="17"/>
  <c r="E105" i="17"/>
  <c r="Q104" i="17"/>
  <c r="P104" i="17"/>
  <c r="O104" i="17"/>
  <c r="N104" i="17"/>
  <c r="M104" i="17"/>
  <c r="L104" i="17"/>
  <c r="K104" i="17"/>
  <c r="J104" i="17"/>
  <c r="I104" i="17"/>
  <c r="H104" i="17"/>
  <c r="G104" i="17"/>
  <c r="F104" i="17"/>
  <c r="E104" i="17"/>
  <c r="Q103" i="17"/>
  <c r="P103" i="17"/>
  <c r="O103" i="17"/>
  <c r="N103" i="17"/>
  <c r="M103" i="17"/>
  <c r="L103" i="17"/>
  <c r="K103" i="17"/>
  <c r="J103" i="17"/>
  <c r="I103" i="17"/>
  <c r="H103" i="17"/>
  <c r="G103" i="17"/>
  <c r="F103" i="17"/>
  <c r="E103" i="17"/>
  <c r="Q102" i="17"/>
  <c r="P102" i="17"/>
  <c r="O102" i="17"/>
  <c r="N102" i="17"/>
  <c r="M102" i="17"/>
  <c r="L102" i="17"/>
  <c r="K102" i="17"/>
  <c r="J102" i="17"/>
  <c r="I102" i="17"/>
  <c r="H102" i="17"/>
  <c r="G102" i="17"/>
  <c r="F102" i="17"/>
  <c r="E102" i="17"/>
  <c r="Q101" i="17"/>
  <c r="P101" i="17"/>
  <c r="N101" i="17"/>
  <c r="G101" i="17"/>
  <c r="F101" i="17"/>
  <c r="Q100" i="17"/>
  <c r="P100" i="17"/>
  <c r="O100" i="17"/>
  <c r="N100" i="17"/>
  <c r="M100" i="17"/>
  <c r="J100" i="17"/>
  <c r="I100" i="17"/>
  <c r="H100" i="17"/>
  <c r="G100" i="17"/>
  <c r="F100" i="17"/>
  <c r="Q99" i="17"/>
  <c r="P99" i="17"/>
  <c r="O99" i="17"/>
  <c r="N99" i="17"/>
  <c r="M99" i="17"/>
  <c r="J99" i="17"/>
  <c r="I99" i="17"/>
  <c r="H99" i="17"/>
  <c r="G99" i="17"/>
  <c r="F99" i="17"/>
  <c r="Q98" i="17"/>
  <c r="P98" i="17"/>
  <c r="F98" i="17"/>
  <c r="Q97" i="17"/>
  <c r="P97" i="17"/>
  <c r="O97" i="17"/>
  <c r="N97" i="17"/>
  <c r="M97" i="17"/>
  <c r="J97" i="17"/>
  <c r="I97" i="17"/>
  <c r="H97" i="17"/>
  <c r="G97" i="17"/>
  <c r="F97" i="17"/>
  <c r="Q95" i="17"/>
  <c r="P95" i="17"/>
  <c r="O95" i="17"/>
  <c r="N95" i="17"/>
  <c r="M95" i="17"/>
  <c r="J95" i="17"/>
  <c r="I95" i="17"/>
  <c r="H95" i="17"/>
  <c r="G95" i="17"/>
  <c r="F95" i="17"/>
  <c r="Q94" i="17"/>
  <c r="P94" i="17"/>
  <c r="G94" i="17"/>
  <c r="F94" i="17"/>
  <c r="Q93" i="17"/>
  <c r="P93" i="17"/>
  <c r="O93" i="17"/>
  <c r="N93" i="17"/>
  <c r="M93" i="17"/>
  <c r="J93" i="17"/>
  <c r="I93" i="17"/>
  <c r="H93" i="17"/>
  <c r="G93" i="17"/>
  <c r="F93" i="17"/>
  <c r="Q92" i="17"/>
  <c r="P92" i="17"/>
  <c r="O92" i="17"/>
  <c r="N92" i="17"/>
  <c r="M92" i="17"/>
  <c r="J92" i="17"/>
  <c r="I92" i="17"/>
  <c r="H92" i="17"/>
  <c r="G92" i="17"/>
  <c r="F92" i="17"/>
  <c r="Q91" i="17"/>
  <c r="P91" i="17"/>
  <c r="O91" i="17"/>
  <c r="N91" i="17"/>
  <c r="M91" i="17"/>
  <c r="J91" i="17"/>
  <c r="I91" i="17"/>
  <c r="H91" i="17"/>
  <c r="G91" i="17"/>
  <c r="F91" i="17"/>
  <c r="Q89" i="17"/>
  <c r="P89" i="17"/>
  <c r="O89" i="17"/>
  <c r="N89" i="17"/>
  <c r="M89" i="17"/>
  <c r="J89" i="17"/>
  <c r="I89" i="17"/>
  <c r="H89" i="17"/>
  <c r="G89" i="17"/>
  <c r="F89" i="17"/>
  <c r="N88" i="17"/>
  <c r="G88" i="17"/>
  <c r="F88" i="17"/>
  <c r="Q87" i="17"/>
  <c r="P87" i="17"/>
  <c r="O87" i="17"/>
  <c r="N87" i="17"/>
  <c r="M87" i="17"/>
  <c r="J87" i="17"/>
  <c r="G87" i="17"/>
  <c r="F87" i="17"/>
  <c r="E87" i="17"/>
  <c r="G86" i="17"/>
  <c r="F86" i="17"/>
  <c r="Q85" i="17"/>
  <c r="P85" i="17"/>
  <c r="O85" i="17"/>
  <c r="N85" i="17"/>
  <c r="M85" i="17"/>
  <c r="J85" i="17"/>
  <c r="G85" i="17"/>
  <c r="F85" i="17"/>
  <c r="Q84" i="17"/>
  <c r="P84" i="17"/>
  <c r="O84" i="17"/>
  <c r="N84" i="17"/>
  <c r="M84" i="17"/>
  <c r="J84" i="17"/>
  <c r="G84" i="17"/>
  <c r="F84" i="17"/>
  <c r="Q83" i="17"/>
  <c r="P83" i="17"/>
  <c r="O83" i="17"/>
  <c r="N83" i="17"/>
  <c r="M83" i="17"/>
  <c r="J83" i="17"/>
  <c r="G83" i="17"/>
  <c r="F83" i="17"/>
  <c r="Q82" i="17"/>
  <c r="O82" i="17"/>
  <c r="N82" i="17"/>
  <c r="M82" i="17"/>
  <c r="J82" i="17"/>
  <c r="G82" i="17"/>
  <c r="F82" i="17"/>
  <c r="Q81" i="17"/>
  <c r="O81" i="17"/>
  <c r="N81" i="17"/>
  <c r="M81" i="17"/>
  <c r="J81" i="17"/>
  <c r="I81" i="17"/>
  <c r="H81" i="17"/>
  <c r="G81" i="17"/>
  <c r="F81" i="17"/>
  <c r="Q80" i="17"/>
  <c r="P80" i="17"/>
  <c r="N80" i="17"/>
  <c r="J80" i="17"/>
  <c r="G80" i="17"/>
  <c r="F80" i="17"/>
  <c r="Q79" i="17"/>
  <c r="P79" i="17"/>
  <c r="O79" i="17"/>
  <c r="N79" i="17"/>
  <c r="H79" i="17"/>
  <c r="G79" i="17"/>
  <c r="F79" i="17"/>
  <c r="Q78" i="17"/>
  <c r="P78" i="17"/>
  <c r="O78" i="17"/>
  <c r="N78" i="17"/>
  <c r="M78" i="17"/>
  <c r="J78" i="17"/>
  <c r="I78" i="17"/>
  <c r="H78" i="17"/>
  <c r="G78" i="17"/>
  <c r="F78" i="17"/>
  <c r="Q77" i="17"/>
  <c r="P77" i="17"/>
  <c r="O77" i="17"/>
  <c r="N77" i="17"/>
  <c r="M77" i="17"/>
  <c r="J77" i="17"/>
  <c r="I77" i="17"/>
  <c r="H77" i="17"/>
  <c r="G77" i="17"/>
  <c r="F77" i="17"/>
  <c r="Q76" i="17"/>
  <c r="P76" i="17"/>
  <c r="N76" i="17"/>
  <c r="G76" i="17"/>
  <c r="F76" i="17"/>
  <c r="Q75" i="17"/>
  <c r="P75" i="17"/>
  <c r="O75" i="17"/>
  <c r="N75" i="17"/>
  <c r="M75" i="17"/>
  <c r="J75" i="17"/>
  <c r="I75" i="17"/>
  <c r="H75" i="17"/>
  <c r="G75" i="17"/>
  <c r="F75" i="17"/>
  <c r="Q74" i="17"/>
  <c r="P74" i="17"/>
  <c r="O74" i="17"/>
  <c r="N74" i="17"/>
  <c r="M74" i="17"/>
  <c r="J74" i="17"/>
  <c r="I74" i="17"/>
  <c r="H74" i="17"/>
  <c r="G74" i="17"/>
  <c r="F74" i="17"/>
  <c r="Q73" i="17"/>
  <c r="P73" i="17"/>
  <c r="O73" i="17"/>
  <c r="N73" i="17"/>
  <c r="M73" i="17"/>
  <c r="J73" i="17"/>
  <c r="I73" i="17"/>
  <c r="H73" i="17"/>
  <c r="G73" i="17"/>
  <c r="F73" i="17"/>
  <c r="R72" i="17"/>
  <c r="J1523" i="3" s="1"/>
  <c r="R71" i="17"/>
  <c r="J1509" i="3" s="1"/>
  <c r="R70" i="17"/>
  <c r="J1500" i="3" s="1"/>
  <c r="P69" i="17"/>
  <c r="R69" i="17" s="1"/>
  <c r="J1490" i="3" s="1"/>
  <c r="P68" i="17"/>
  <c r="G68" i="17"/>
  <c r="F68" i="17"/>
  <c r="G67" i="17"/>
  <c r="F67" i="17"/>
  <c r="G66" i="17"/>
  <c r="F66" i="17"/>
  <c r="P65" i="17"/>
  <c r="G65" i="17"/>
  <c r="F65" i="17"/>
  <c r="G64" i="17"/>
  <c r="F64" i="17"/>
  <c r="G63" i="17"/>
  <c r="F63" i="17"/>
  <c r="G62" i="17"/>
  <c r="F62" i="17"/>
  <c r="G61" i="17"/>
  <c r="F61" i="17"/>
  <c r="G60" i="17"/>
  <c r="F60" i="17"/>
  <c r="G59" i="17"/>
  <c r="F59" i="17"/>
  <c r="P58" i="17"/>
  <c r="G58" i="17"/>
  <c r="F58" i="17"/>
  <c r="G57" i="17"/>
  <c r="F57" i="17"/>
  <c r="G56" i="17"/>
  <c r="F56" i="17"/>
  <c r="G55" i="17"/>
  <c r="F55" i="17"/>
  <c r="P54" i="17"/>
  <c r="G54" i="17"/>
  <c r="F54" i="17"/>
  <c r="P53" i="17"/>
  <c r="G53" i="17"/>
  <c r="F53" i="17"/>
  <c r="G52" i="17"/>
  <c r="F52" i="17"/>
  <c r="R52" i="17" s="1"/>
  <c r="J1216" i="3" s="1"/>
  <c r="G51" i="17"/>
  <c r="F51" i="17"/>
  <c r="G50" i="17"/>
  <c r="F50" i="17"/>
  <c r="G49" i="17"/>
  <c r="F49" i="17"/>
  <c r="G48" i="17"/>
  <c r="F48" i="17"/>
  <c r="G47" i="17"/>
  <c r="F47" i="17"/>
  <c r="G46" i="17"/>
  <c r="F46" i="17"/>
  <c r="G45" i="17"/>
  <c r="F45" i="17"/>
  <c r="G44" i="17"/>
  <c r="F44" i="17"/>
  <c r="G43" i="17"/>
  <c r="F43" i="17"/>
  <c r="R43" i="17" s="1"/>
  <c r="J1094" i="3" s="1"/>
  <c r="G42" i="17"/>
  <c r="F42" i="17"/>
  <c r="G41" i="17"/>
  <c r="F41" i="17"/>
  <c r="G40" i="17"/>
  <c r="F40" i="17"/>
  <c r="G39" i="17"/>
  <c r="F39" i="17"/>
  <c r="G38" i="17"/>
  <c r="F38" i="17"/>
  <c r="G37" i="17"/>
  <c r="F37" i="17"/>
  <c r="G36" i="17"/>
  <c r="F36" i="17"/>
  <c r="G35" i="17"/>
  <c r="F35" i="17"/>
  <c r="G34" i="17"/>
  <c r="F34" i="17"/>
  <c r="F33" i="17"/>
  <c r="R33" i="17" s="1"/>
  <c r="P30" i="17"/>
  <c r="G30" i="17"/>
  <c r="F30" i="17"/>
  <c r="Q29" i="17"/>
  <c r="P29" i="17"/>
  <c r="N29" i="17"/>
  <c r="L29" i="17"/>
  <c r="G29" i="17"/>
  <c r="F29" i="17"/>
  <c r="F28" i="17"/>
  <c r="R28" i="17" s="1"/>
  <c r="J810" i="3" s="1"/>
  <c r="F27" i="17"/>
  <c r="R27" i="17" s="1"/>
  <c r="F26" i="17"/>
  <c r="R26" i="17" s="1"/>
  <c r="Q25" i="17"/>
  <c r="P25" i="17"/>
  <c r="O25" i="17"/>
  <c r="N25" i="17"/>
  <c r="J25" i="17"/>
  <c r="F25" i="17"/>
  <c r="Q24" i="17"/>
  <c r="P24" i="17"/>
  <c r="F24" i="17"/>
  <c r="F23" i="17"/>
  <c r="R23" i="17" s="1"/>
  <c r="J750" i="3" s="1"/>
  <c r="K750" i="3" s="1"/>
  <c r="Q22" i="17"/>
  <c r="P22" i="17"/>
  <c r="F22" i="17"/>
  <c r="F21" i="17"/>
  <c r="R21" i="17" s="1"/>
  <c r="J684" i="3" s="1"/>
  <c r="Q20" i="17"/>
  <c r="P20" i="17"/>
  <c r="G20" i="17"/>
  <c r="F20" i="17"/>
  <c r="Q19" i="17"/>
  <c r="P19" i="17"/>
  <c r="O19" i="17"/>
  <c r="G19" i="17"/>
  <c r="F19" i="17"/>
  <c r="E19" i="17"/>
  <c r="Q17" i="17"/>
  <c r="P17" i="17"/>
  <c r="O17" i="17"/>
  <c r="N17" i="17"/>
  <c r="M17" i="17"/>
  <c r="L17" i="17"/>
  <c r="K17" i="17"/>
  <c r="J17" i="17"/>
  <c r="I17" i="17"/>
  <c r="G17" i="17"/>
  <c r="F17" i="17"/>
  <c r="E17" i="17"/>
  <c r="Q16" i="17"/>
  <c r="P16" i="17"/>
  <c r="N16" i="17"/>
  <c r="M16" i="17"/>
  <c r="J16" i="17"/>
  <c r="I16" i="17"/>
  <c r="H16" i="17"/>
  <c r="G16" i="17"/>
  <c r="F16" i="17"/>
  <c r="E16" i="17"/>
  <c r="Q15" i="17"/>
  <c r="P15" i="17"/>
  <c r="O15" i="17"/>
  <c r="N15" i="17"/>
  <c r="M15" i="17"/>
  <c r="L15" i="17"/>
  <c r="K15" i="17"/>
  <c r="J15" i="17"/>
  <c r="I15" i="17"/>
  <c r="H15" i="17"/>
  <c r="G15" i="17"/>
  <c r="F15" i="17"/>
  <c r="E15" i="17"/>
  <c r="Q14" i="17"/>
  <c r="P14" i="17"/>
  <c r="O14" i="17"/>
  <c r="N14" i="17"/>
  <c r="M14" i="17"/>
  <c r="L14" i="17"/>
  <c r="K14" i="17"/>
  <c r="J14" i="17"/>
  <c r="I14" i="17"/>
  <c r="H14" i="17"/>
  <c r="G14" i="17"/>
  <c r="F14" i="17"/>
  <c r="E14" i="17"/>
  <c r="Q13" i="17"/>
  <c r="P13" i="17"/>
  <c r="O13" i="17"/>
  <c r="N13" i="17"/>
  <c r="M13" i="17"/>
  <c r="L13" i="17"/>
  <c r="K13" i="17"/>
  <c r="J13" i="17"/>
  <c r="I13" i="17"/>
  <c r="H13" i="17"/>
  <c r="G13" i="17"/>
  <c r="F13" i="17"/>
  <c r="E13" i="17"/>
  <c r="F12" i="17"/>
  <c r="R12" i="17" s="1"/>
  <c r="J471" i="3" s="1"/>
  <c r="F11" i="17"/>
  <c r="R11" i="17" s="1"/>
  <c r="J418" i="3" s="1"/>
  <c r="F10" i="17"/>
  <c r="R10" i="17" s="1"/>
  <c r="F6" i="17"/>
  <c r="R6" i="17" s="1"/>
  <c r="F5" i="17"/>
  <c r="R5" i="17" s="1"/>
  <c r="J342" i="3" s="1"/>
  <c r="F4" i="17"/>
  <c r="R4" i="17" s="1"/>
  <c r="R46" i="17" l="1"/>
  <c r="J1127" i="3" s="1"/>
  <c r="R284" i="17"/>
  <c r="R86" i="17"/>
  <c r="J1848" i="3" s="1"/>
  <c r="R66" i="17"/>
  <c r="R35" i="17"/>
  <c r="J992" i="3" s="1"/>
  <c r="R238" i="17"/>
  <c r="R228" i="17"/>
  <c r="J3991" i="3" s="1"/>
  <c r="R231" i="17"/>
  <c r="J4023" i="3" s="1"/>
  <c r="R263" i="17"/>
  <c r="R56" i="17"/>
  <c r="J1292" i="3" s="1"/>
  <c r="R67" i="17"/>
  <c r="J1460" i="3" s="1"/>
  <c r="R162" i="17"/>
  <c r="J3110" i="3" s="1"/>
  <c r="R184" i="17"/>
  <c r="J3376" i="3" s="1"/>
  <c r="R50" i="17"/>
  <c r="R61" i="17"/>
  <c r="J1382" i="3" s="1"/>
  <c r="R212" i="17"/>
  <c r="J3691" i="3" s="1"/>
  <c r="R34" i="17"/>
  <c r="J982" i="3" s="1"/>
  <c r="R38" i="17"/>
  <c r="J1030" i="3" s="1"/>
  <c r="R49" i="17"/>
  <c r="J1183" i="3" s="1"/>
  <c r="R261" i="17"/>
  <c r="R57" i="17"/>
  <c r="J1313" i="3" s="1"/>
  <c r="R124" i="17"/>
  <c r="J2548" i="3" s="1"/>
  <c r="R229" i="17"/>
  <c r="R223" i="17"/>
  <c r="R36" i="17"/>
  <c r="J1005" i="3" s="1"/>
  <c r="R40" i="17"/>
  <c r="J1055" i="3" s="1"/>
  <c r="R262" i="17"/>
  <c r="J4372" i="3" s="1"/>
  <c r="R179" i="17"/>
  <c r="R230" i="17"/>
  <c r="R268" i="17"/>
  <c r="R277" i="17"/>
  <c r="R227" i="17"/>
  <c r="J3980" i="3" s="1"/>
  <c r="R269" i="17"/>
  <c r="R42" i="17"/>
  <c r="J1086" i="3" s="1"/>
  <c r="R76" i="17"/>
  <c r="R78" i="17"/>
  <c r="J1665" i="3" s="1"/>
  <c r="R80" i="17"/>
  <c r="R152" i="17"/>
  <c r="R161" i="17"/>
  <c r="J3100" i="3" s="1"/>
  <c r="R190" i="17"/>
  <c r="J3440" i="3" s="1"/>
  <c r="R201" i="17"/>
  <c r="R257" i="17"/>
  <c r="J4326" i="3" s="1"/>
  <c r="R283" i="17"/>
  <c r="J4634" i="3" s="1"/>
  <c r="R100" i="17"/>
  <c r="J2061" i="3" s="1"/>
  <c r="R138" i="17"/>
  <c r="J2784" i="3" s="1"/>
  <c r="R191" i="17"/>
  <c r="J3455" i="3" s="1"/>
  <c r="R215" i="17"/>
  <c r="R225" i="17"/>
  <c r="J3916" i="3" s="1"/>
  <c r="R240" i="17"/>
  <c r="J4130" i="3" s="1"/>
  <c r="R250" i="17"/>
  <c r="R252" i="17"/>
  <c r="R47" i="17"/>
  <c r="J1145" i="3" s="1"/>
  <c r="R88" i="17"/>
  <c r="R151" i="17"/>
  <c r="R221" i="17"/>
  <c r="J3815" i="3" s="1"/>
  <c r="R255" i="17"/>
  <c r="R270" i="17"/>
  <c r="J4500" i="3" s="1"/>
  <c r="R276" i="17"/>
  <c r="J4590" i="3" s="1"/>
  <c r="R15" i="17"/>
  <c r="J500" i="3" s="1"/>
  <c r="R203" i="17"/>
  <c r="J3603" i="3" s="1"/>
  <c r="R219" i="17"/>
  <c r="J3788" i="3" s="1"/>
  <c r="R111" i="17"/>
  <c r="R246" i="17"/>
  <c r="R251" i="17"/>
  <c r="R282" i="17"/>
  <c r="R22" i="17"/>
  <c r="J738" i="3" s="1"/>
  <c r="R116" i="17"/>
  <c r="R157" i="17"/>
  <c r="J3047" i="3" s="1"/>
  <c r="R192" i="17"/>
  <c r="R226" i="17"/>
  <c r="J3932" i="3" s="1"/>
  <c r="R37" i="17"/>
  <c r="J1018" i="3" s="1"/>
  <c r="R41" i="17"/>
  <c r="J1067" i="3" s="1"/>
  <c r="R59" i="17"/>
  <c r="J1352" i="3" s="1"/>
  <c r="R108" i="17"/>
  <c r="R145" i="17"/>
  <c r="R166" i="17"/>
  <c r="R171" i="17"/>
  <c r="R204" i="17"/>
  <c r="J3611" i="3" s="1"/>
  <c r="R243" i="17"/>
  <c r="R259" i="17"/>
  <c r="J4355" i="3" s="1"/>
  <c r="R17" i="17"/>
  <c r="R30" i="17"/>
  <c r="R39" i="17"/>
  <c r="J1039" i="3" s="1"/>
  <c r="R53" i="17"/>
  <c r="J1240" i="3" s="1"/>
  <c r="R63" i="17"/>
  <c r="J1409" i="3" s="1"/>
  <c r="R75" i="17"/>
  <c r="J1598" i="3" s="1"/>
  <c r="R81" i="17"/>
  <c r="R83" i="17"/>
  <c r="R84" i="17"/>
  <c r="R85" i="17"/>
  <c r="J1830" i="3" s="1"/>
  <c r="R89" i="17"/>
  <c r="R94" i="17"/>
  <c r="J1966" i="3" s="1"/>
  <c r="R103" i="17"/>
  <c r="J2088" i="3" s="1"/>
  <c r="R112" i="17"/>
  <c r="R121" i="17"/>
  <c r="J2496" i="3" s="1"/>
  <c r="R122" i="17"/>
  <c r="R126" i="17"/>
  <c r="R130" i="17"/>
  <c r="R142" i="17"/>
  <c r="J2828" i="3" s="1"/>
  <c r="R146" i="17"/>
  <c r="J2923" i="3" s="1"/>
  <c r="R165" i="17"/>
  <c r="J3150" i="3" s="1"/>
  <c r="R186" i="17"/>
  <c r="J3397" i="3" s="1"/>
  <c r="R194" i="17"/>
  <c r="R202" i="17"/>
  <c r="R214" i="17"/>
  <c r="R233" i="17"/>
  <c r="R235" i="17"/>
  <c r="J4063" i="3" s="1"/>
  <c r="R242" i="17"/>
  <c r="R249" i="17"/>
  <c r="R105" i="17"/>
  <c r="J2127" i="3" s="1"/>
  <c r="R123" i="17"/>
  <c r="J2538" i="3" s="1"/>
  <c r="R125" i="17"/>
  <c r="J2565" i="3" s="1"/>
  <c r="R132" i="17"/>
  <c r="J2653" i="3" s="1"/>
  <c r="R154" i="17"/>
  <c r="R159" i="17"/>
  <c r="R207" i="17"/>
  <c r="J3633" i="3" s="1"/>
  <c r="R247" i="17"/>
  <c r="R260" i="17"/>
  <c r="R82" i="17"/>
  <c r="R20" i="17"/>
  <c r="J660" i="3" s="1"/>
  <c r="R24" i="17"/>
  <c r="R44" i="17"/>
  <c r="J1103" i="3" s="1"/>
  <c r="R51" i="17"/>
  <c r="J1195" i="3" s="1"/>
  <c r="R54" i="17"/>
  <c r="J1265" i="3" s="1"/>
  <c r="R64" i="17"/>
  <c r="J1426" i="3" s="1"/>
  <c r="R73" i="17"/>
  <c r="R87" i="17"/>
  <c r="R91" i="17"/>
  <c r="R92" i="17"/>
  <c r="J1940" i="3" s="1"/>
  <c r="R95" i="17"/>
  <c r="R102" i="17"/>
  <c r="R110" i="17"/>
  <c r="R113" i="17"/>
  <c r="J2296" i="3" s="1"/>
  <c r="R118" i="17"/>
  <c r="R127" i="17"/>
  <c r="R129" i="17"/>
  <c r="J2624" i="3" s="1"/>
  <c r="R143" i="17"/>
  <c r="J2866" i="3" s="1"/>
  <c r="R164" i="17"/>
  <c r="R167" i="17"/>
  <c r="R175" i="17"/>
  <c r="R180" i="17"/>
  <c r="J3326" i="3" s="1"/>
  <c r="R185" i="17"/>
  <c r="R187" i="17"/>
  <c r="R217" i="17"/>
  <c r="J3758" i="3" s="1"/>
  <c r="R236" i="17"/>
  <c r="R248" i="17"/>
  <c r="R274" i="17"/>
  <c r="J4569" i="3" s="1"/>
  <c r="R29" i="17"/>
  <c r="R60" i="17"/>
  <c r="J1361" i="3" s="1"/>
  <c r="R14" i="17"/>
  <c r="J488" i="3" s="1"/>
  <c r="R19" i="17"/>
  <c r="J645" i="3" s="1"/>
  <c r="R48" i="17"/>
  <c r="J1160" i="3" s="1"/>
  <c r="R58" i="17"/>
  <c r="J1330" i="3" s="1"/>
  <c r="R68" i="17"/>
  <c r="R79" i="17"/>
  <c r="J1683" i="3" s="1"/>
  <c r="R99" i="17"/>
  <c r="J2048" i="3" s="1"/>
  <c r="R107" i="17"/>
  <c r="J2196" i="3" s="1"/>
  <c r="R156" i="17"/>
  <c r="J3036" i="3" s="1"/>
  <c r="R169" i="17"/>
  <c r="R200" i="17"/>
  <c r="J3559" i="3" s="1"/>
  <c r="R209" i="17"/>
  <c r="R218" i="17"/>
  <c r="R220" i="17"/>
  <c r="J3799" i="3" s="1"/>
  <c r="R234" i="17"/>
  <c r="J4052" i="3" s="1"/>
  <c r="R239" i="17"/>
  <c r="J4118" i="3" s="1"/>
  <c r="R245" i="17"/>
  <c r="J4174" i="3" s="1"/>
  <c r="K4174" i="3" s="1"/>
  <c r="R258" i="17"/>
  <c r="R273" i="17"/>
  <c r="R278" i="17"/>
  <c r="R93" i="17"/>
  <c r="R150" i="17"/>
  <c r="R160" i="17"/>
  <c r="R253" i="17"/>
  <c r="R74" i="17"/>
  <c r="R104" i="17"/>
  <c r="J2112" i="3" s="1"/>
  <c r="R133" i="17"/>
  <c r="J2693" i="3" s="1"/>
  <c r="R134" i="17"/>
  <c r="J2721" i="3" s="1"/>
  <c r="R163" i="17"/>
  <c r="J3122" i="3" s="1"/>
  <c r="R189" i="17"/>
  <c r="R16" i="17"/>
  <c r="R25" i="17"/>
  <c r="J769" i="3" s="1"/>
  <c r="R45" i="17"/>
  <c r="R55" i="17"/>
  <c r="J1278" i="3" s="1"/>
  <c r="R62" i="17"/>
  <c r="R65" i="17"/>
  <c r="J1448" i="3" s="1"/>
  <c r="R77" i="17"/>
  <c r="J1643" i="3" s="1"/>
  <c r="R97" i="17"/>
  <c r="R101" i="17"/>
  <c r="R109" i="17"/>
  <c r="R119" i="17"/>
  <c r="R128" i="17"/>
  <c r="J2604" i="3" s="1"/>
  <c r="R155" i="17"/>
  <c r="J3026" i="3" s="1"/>
  <c r="R188" i="17"/>
  <c r="R195" i="17"/>
  <c r="J3504" i="3" s="1"/>
  <c r="R210" i="17"/>
  <c r="J3673" i="3" s="1"/>
  <c r="R213" i="17"/>
  <c r="R237" i="17"/>
  <c r="R13" i="17"/>
  <c r="R98" i="17"/>
  <c r="J2024" i="3" s="1"/>
  <c r="R106" i="17"/>
  <c r="J2167" i="3" s="1"/>
  <c r="R120" i="17"/>
  <c r="R131" i="17"/>
  <c r="J2640" i="3" s="1"/>
  <c r="R144" i="17"/>
  <c r="J2898" i="3" s="1"/>
  <c r="R147" i="17"/>
  <c r="R153" i="17"/>
  <c r="R168" i="17"/>
  <c r="J3183" i="3" s="1"/>
  <c r="R174" i="17"/>
  <c r="J3253" i="3" s="1"/>
  <c r="R199" i="17"/>
  <c r="J3546" i="3" s="1"/>
  <c r="R232" i="17"/>
  <c r="R241" i="17"/>
  <c r="J3699" i="3" l="1"/>
  <c r="G3643" i="3"/>
  <c r="K3643" i="3" s="1"/>
  <c r="K889" i="3" l="1"/>
  <c r="K887" i="3"/>
  <c r="G1466" i="3"/>
  <c r="K453" i="3" l="1"/>
  <c r="E4563" i="3" l="1"/>
  <c r="E4495" i="3"/>
  <c r="E4494" i="3"/>
  <c r="E4493" i="3"/>
  <c r="E4492" i="3"/>
  <c r="E4491" i="3"/>
  <c r="K4320" i="3" l="1"/>
  <c r="K4322" i="3" s="1"/>
  <c r="G4157" i="3" l="1"/>
  <c r="G4158" i="3"/>
  <c r="K4158" i="3" s="1"/>
  <c r="E4157" i="3"/>
  <c r="E4141" i="3"/>
  <c r="E4113" i="3"/>
  <c r="E4112" i="3"/>
  <c r="E4111" i="3"/>
  <c r="G4109" i="3"/>
  <c r="E4109" i="3"/>
  <c r="E4108" i="3"/>
  <c r="E4058" i="3"/>
  <c r="E4056" i="3"/>
  <c r="E4018" i="3"/>
  <c r="K4018" i="3" s="1"/>
  <c r="E4017" i="3"/>
  <c r="E4016" i="3"/>
  <c r="E3975" i="3"/>
  <c r="E3974" i="3"/>
  <c r="E3972" i="3"/>
  <c r="G3926" i="3"/>
  <c r="K3926" i="3" s="1"/>
  <c r="G3925" i="3"/>
  <c r="G3642" i="3" l="1"/>
  <c r="K3642" i="3" s="1"/>
  <c r="K3350" i="3"/>
  <c r="K3351" i="3"/>
  <c r="K3349" i="3"/>
  <c r="G3299" i="3"/>
  <c r="K3299" i="3" s="1"/>
  <c r="K3352" i="3" l="1"/>
  <c r="K3355" i="3" s="1"/>
  <c r="K3356" i="3" s="1"/>
  <c r="K2857" i="3" l="1"/>
  <c r="K2856" i="3"/>
  <c r="G2769" i="3"/>
  <c r="K2769" i="3" s="1"/>
  <c r="K2714" i="3"/>
  <c r="K2672" i="3"/>
  <c r="K2662" i="3"/>
  <c r="K2715" i="3" l="1"/>
  <c r="E2187" i="3"/>
  <c r="E2186" i="3"/>
  <c r="E2185" i="3"/>
  <c r="E2184" i="3"/>
  <c r="K2055" i="3"/>
  <c r="K856" i="3"/>
  <c r="G1654" i="3" l="1"/>
  <c r="I1654" i="3"/>
  <c r="E1587" i="3" l="1"/>
  <c r="E1589" i="3"/>
  <c r="K1539" i="3"/>
  <c r="K1465" i="3" l="1"/>
  <c r="K639" i="3" l="1"/>
  <c r="J453" i="3"/>
  <c r="K477" i="3"/>
  <c r="K1988" i="3" l="1"/>
  <c r="K443" i="3" l="1"/>
  <c r="K427" i="3" l="1"/>
  <c r="K422" i="3"/>
  <c r="K406" i="3"/>
  <c r="K407" i="3" s="1"/>
  <c r="K428" i="3" l="1"/>
  <c r="K311" i="3"/>
  <c r="K310" i="3"/>
  <c r="K1757" i="3" l="1"/>
  <c r="K1758" i="3"/>
  <c r="K1747" i="3"/>
  <c r="K886" i="3"/>
  <c r="I3482" i="3"/>
  <c r="K2436" i="3"/>
  <c r="K1872" i="3"/>
  <c r="K2709" i="3"/>
  <c r="K2710" i="3" s="1"/>
  <c r="K3645" i="3"/>
  <c r="K4214" i="3"/>
  <c r="K4188" i="3"/>
  <c r="K4215" i="3"/>
  <c r="K4186" i="3"/>
  <c r="K4213" i="3"/>
  <c r="K3954" i="3"/>
  <c r="K4150" i="3"/>
  <c r="K4151" i="3"/>
  <c r="K4187" i="3"/>
  <c r="K2144" i="3"/>
  <c r="K2135" i="3"/>
  <c r="K1466" i="3"/>
  <c r="K1470" i="3" s="1"/>
  <c r="K890" i="3" l="1"/>
  <c r="K893" i="3" s="1"/>
  <c r="K894" i="3" s="1"/>
  <c r="K895" i="3" s="1"/>
  <c r="K2437" i="3"/>
  <c r="K1759" i="3"/>
  <c r="I2727" i="3"/>
  <c r="I2733" i="3"/>
  <c r="K2733" i="3" s="1"/>
  <c r="K2734" i="3" s="1"/>
  <c r="K2735" i="3" s="1"/>
  <c r="I2134" i="3"/>
  <c r="K2134" i="3" s="1"/>
  <c r="K4542" i="3"/>
  <c r="K4141" i="3"/>
  <c r="K3540" i="3"/>
  <c r="K3114" i="3"/>
  <c r="K4284" i="3" l="1"/>
  <c r="K3202" i="3"/>
  <c r="K3205" i="3" s="1"/>
  <c r="K4287" i="3" l="1"/>
  <c r="K4288" i="3" s="1"/>
  <c r="K4289" i="3" s="1"/>
  <c r="I1082" i="3"/>
  <c r="I1052" i="3"/>
  <c r="G4048" i="3" l="1"/>
  <c r="K3715" i="3"/>
  <c r="K3695" i="3"/>
  <c r="K3588" i="3"/>
  <c r="K3577" i="3"/>
  <c r="G3553" i="3"/>
  <c r="K3553" i="3" s="1"/>
  <c r="G3554" i="3"/>
  <c r="K3554" i="3" s="1"/>
  <c r="J38" i="7"/>
  <c r="G38" i="7"/>
  <c r="H38" i="7" s="1"/>
  <c r="K38" i="7" l="1"/>
  <c r="L38" i="7" s="1"/>
  <c r="J30" i="7"/>
  <c r="G30" i="7"/>
  <c r="H30" i="7" s="1"/>
  <c r="K30" i="7" l="1"/>
  <c r="L30" i="7" s="1"/>
  <c r="G2184" i="3"/>
  <c r="I1891" i="3"/>
  <c r="K1891" i="3" s="1"/>
  <c r="I2154" i="3"/>
  <c r="G2154" i="3"/>
  <c r="K1654" i="3" l="1"/>
  <c r="G2034" i="3" l="1"/>
  <c r="G3461" i="3" l="1"/>
  <c r="K3461" i="3" s="1"/>
  <c r="J1001" i="3" l="1"/>
  <c r="J1059" i="3"/>
  <c r="J1074" i="3"/>
  <c r="J1075" i="3"/>
  <c r="J1082" i="3"/>
  <c r="J997" i="3"/>
  <c r="J1076" i="3"/>
  <c r="J1023" i="3"/>
  <c r="J1079" i="3"/>
  <c r="J999" i="3"/>
  <c r="J1000" i="3"/>
  <c r="J1036" i="3"/>
  <c r="J1077" i="3"/>
  <c r="J1078" i="3"/>
  <c r="J987" i="3"/>
  <c r="J988" i="3" l="1"/>
  <c r="J1025" i="3"/>
  <c r="J1063" i="3"/>
  <c r="J1060" i="3"/>
  <c r="J1035" i="3"/>
  <c r="J972" i="3"/>
  <c r="J973" i="3"/>
  <c r="J996" i="3"/>
  <c r="J1072" i="3"/>
  <c r="J1024" i="3"/>
  <c r="J1062" i="3"/>
  <c r="J1013" i="3"/>
  <c r="J1046" i="3"/>
  <c r="J1009" i="3"/>
  <c r="J1047" i="3"/>
  <c r="J1010" i="3"/>
  <c r="J1048" i="3"/>
  <c r="J1012" i="3"/>
  <c r="J1050" i="3"/>
  <c r="J986" i="3"/>
  <c r="J1026" i="3"/>
  <c r="J1034" i="3"/>
  <c r="J974" i="3"/>
  <c r="J1080" i="3"/>
  <c r="J1061" i="3"/>
  <c r="J975" i="3"/>
  <c r="J1014" i="3"/>
  <c r="J1051" i="3"/>
  <c r="J1073" i="3"/>
  <c r="J1081" i="3"/>
  <c r="J998" i="3"/>
  <c r="J976" i="3"/>
  <c r="J1022" i="3"/>
  <c r="J1044" i="3"/>
  <c r="J1052" i="3"/>
  <c r="J1011" i="3"/>
  <c r="J1049" i="3"/>
  <c r="J1045" i="3"/>
  <c r="J19" i="7" l="1"/>
  <c r="G19" i="7"/>
  <c r="H19" i="7" s="1"/>
  <c r="K19" i="7" l="1"/>
  <c r="L19" i="7" s="1"/>
  <c r="J11" i="7"/>
  <c r="G11" i="7"/>
  <c r="H11" i="7" s="1"/>
  <c r="J10" i="7"/>
  <c r="G10" i="7"/>
  <c r="H10" i="7" s="1"/>
  <c r="K10" i="7" l="1"/>
  <c r="L10" i="7" s="1"/>
  <c r="K11" i="7"/>
  <c r="L11" i="7" s="1"/>
  <c r="K4533" i="3" l="1"/>
  <c r="K4536" i="3" s="1"/>
  <c r="K4537" i="3" s="1"/>
  <c r="K4538" i="3" s="1"/>
  <c r="I2028" i="3" l="1"/>
  <c r="K2028" i="3" s="1"/>
  <c r="I1712" i="3"/>
  <c r="K1712" i="3" s="1"/>
  <c r="I2657" i="3" l="1"/>
  <c r="K2657" i="3" s="1"/>
  <c r="I4352" i="3"/>
  <c r="I4351" i="3"/>
  <c r="J613" i="3"/>
  <c r="K3899" i="3"/>
  <c r="E1484" i="3" l="1"/>
  <c r="E1477" i="3"/>
  <c r="I1477" i="3"/>
  <c r="I1476" i="3"/>
  <c r="E1475" i="3"/>
  <c r="I1475" i="3"/>
  <c r="K754" i="3"/>
  <c r="E1098" i="3" l="1"/>
  <c r="K734" i="3" l="1"/>
  <c r="K651" i="3"/>
  <c r="E2760" i="3" l="1"/>
  <c r="G3975" i="3"/>
  <c r="K3975" i="3" s="1"/>
  <c r="G3974" i="3"/>
  <c r="K3974" i="3" s="1"/>
  <c r="K3754" i="3"/>
  <c r="G1153" i="3"/>
  <c r="K2716" i="3" l="1"/>
  <c r="J43" i="7"/>
  <c r="G43" i="7"/>
  <c r="H43" i="7" s="1"/>
  <c r="J42" i="7"/>
  <c r="G42" i="7"/>
  <c r="H42" i="7" s="1"/>
  <c r="J41" i="7"/>
  <c r="G41" i="7"/>
  <c r="H41" i="7" s="1"/>
  <c r="J40" i="7"/>
  <c r="G40" i="7"/>
  <c r="H40" i="7" s="1"/>
  <c r="J39" i="7"/>
  <c r="G39" i="7"/>
  <c r="H39" i="7" s="1"/>
  <c r="J37" i="7"/>
  <c r="G37" i="7"/>
  <c r="H37" i="7" s="1"/>
  <c r="J36" i="7"/>
  <c r="G36" i="7"/>
  <c r="H36" i="7" s="1"/>
  <c r="J35" i="7"/>
  <c r="G35" i="7"/>
  <c r="H35" i="7" s="1"/>
  <c r="J34" i="7"/>
  <c r="G34" i="7"/>
  <c r="H34" i="7" s="1"/>
  <c r="J33" i="7"/>
  <c r="G33" i="7"/>
  <c r="H33" i="7" s="1"/>
  <c r="J32" i="7"/>
  <c r="G32" i="7"/>
  <c r="H32" i="7" s="1"/>
  <c r="J31" i="7"/>
  <c r="G31" i="7"/>
  <c r="H31" i="7" s="1"/>
  <c r="J29" i="7"/>
  <c r="G29" i="7"/>
  <c r="H29" i="7" s="1"/>
  <c r="J28" i="7"/>
  <c r="G28" i="7"/>
  <c r="H28" i="7" s="1"/>
  <c r="J27" i="7"/>
  <c r="G27" i="7"/>
  <c r="H27" i="7" s="1"/>
  <c r="J26" i="7"/>
  <c r="G26" i="7"/>
  <c r="H26" i="7" s="1"/>
  <c r="J25" i="7"/>
  <c r="G25" i="7"/>
  <c r="H25" i="7" s="1"/>
  <c r="J24" i="7"/>
  <c r="G24" i="7"/>
  <c r="H24" i="7" s="1"/>
  <c r="J23" i="7"/>
  <c r="G23" i="7"/>
  <c r="H23" i="7" s="1"/>
  <c r="J22" i="7"/>
  <c r="G22" i="7"/>
  <c r="H22" i="7" s="1"/>
  <c r="J21" i="7"/>
  <c r="G21" i="7"/>
  <c r="H21" i="7" s="1"/>
  <c r="J20" i="7"/>
  <c r="G20" i="7"/>
  <c r="H20" i="7" s="1"/>
  <c r="J18" i="7"/>
  <c r="G18" i="7"/>
  <c r="H18" i="7" s="1"/>
  <c r="J17" i="7"/>
  <c r="G17" i="7"/>
  <c r="H17" i="7" s="1"/>
  <c r="J16" i="7"/>
  <c r="G16" i="7"/>
  <c r="H16" i="7" s="1"/>
  <c r="J15" i="7"/>
  <c r="G15" i="7"/>
  <c r="H15" i="7" s="1"/>
  <c r="J14" i="7"/>
  <c r="G14" i="7"/>
  <c r="H14" i="7" s="1"/>
  <c r="J13" i="7"/>
  <c r="G13" i="7"/>
  <c r="H13" i="7" s="1"/>
  <c r="J12" i="7"/>
  <c r="G12" i="7"/>
  <c r="H12" i="7" s="1"/>
  <c r="J9" i="7"/>
  <c r="G9" i="7"/>
  <c r="H9" i="7" s="1"/>
  <c r="J8" i="7"/>
  <c r="G8" i="7"/>
  <c r="H8" i="7" s="1"/>
  <c r="J7" i="7"/>
  <c r="G7" i="7"/>
  <c r="H7" i="7" s="1"/>
  <c r="J6" i="7"/>
  <c r="G6" i="7"/>
  <c r="H6" i="7" s="1"/>
  <c r="J5" i="7"/>
  <c r="G5" i="7"/>
  <c r="H5" i="7" s="1"/>
  <c r="J4" i="7"/>
  <c r="G4" i="7"/>
  <c r="H4" i="7" s="1"/>
  <c r="J3" i="7"/>
  <c r="G3" i="7"/>
  <c r="H3" i="7" s="1"/>
  <c r="K3535" i="3"/>
  <c r="K2332" i="3"/>
  <c r="I3564" i="3"/>
  <c r="K3564" i="3" s="1"/>
  <c r="K4347" i="3"/>
  <c r="K2479" i="3"/>
  <c r="K2480" i="3" s="1"/>
  <c r="J3762" i="3"/>
  <c r="K4608" i="3"/>
  <c r="K4611" i="3" s="1"/>
  <c r="K4612" i="3" s="1"/>
  <c r="K4586" i="3"/>
  <c r="K4589" i="3" s="1"/>
  <c r="K4576" i="3"/>
  <c r="K4579" i="3" s="1"/>
  <c r="K4564" i="3"/>
  <c r="K4563" i="3"/>
  <c r="K4562" i="3"/>
  <c r="K4561" i="3"/>
  <c r="K4545" i="3"/>
  <c r="E4544" i="3"/>
  <c r="K4544" i="3" s="1"/>
  <c r="K4543" i="3"/>
  <c r="K4495" i="3"/>
  <c r="K4494" i="3"/>
  <c r="K4493" i="3"/>
  <c r="K4492" i="3"/>
  <c r="K4491" i="3"/>
  <c r="K4430" i="3"/>
  <c r="K4419" i="3"/>
  <c r="K4418" i="3"/>
  <c r="K4417" i="3"/>
  <c r="K4416" i="3"/>
  <c r="K4415" i="3"/>
  <c r="K4414" i="3"/>
  <c r="K4391" i="3"/>
  <c r="K4368" i="3"/>
  <c r="K4371" i="3" s="1"/>
  <c r="K4353" i="3"/>
  <c r="K4352" i="3"/>
  <c r="K4351" i="3"/>
  <c r="K4350" i="3"/>
  <c r="K4348" i="3"/>
  <c r="K4340" i="3"/>
  <c r="K4341" i="3" s="1"/>
  <c r="K4325" i="3"/>
  <c r="K4275" i="3"/>
  <c r="K4270" i="3"/>
  <c r="K4144" i="3"/>
  <c r="K4145" i="3" s="1"/>
  <c r="K4146" i="3" s="1"/>
  <c r="K4125" i="3"/>
  <c r="K4128" i="3" s="1"/>
  <c r="K4129" i="3" s="1"/>
  <c r="G4113" i="3"/>
  <c r="G4112" i="3"/>
  <c r="G4111" i="3"/>
  <c r="G4110" i="3"/>
  <c r="K4110" i="3" s="1"/>
  <c r="G4108" i="3"/>
  <c r="K4107" i="3"/>
  <c r="G4071" i="3"/>
  <c r="K4058" i="3"/>
  <c r="E4057" i="3"/>
  <c r="K4057" i="3" s="1"/>
  <c r="K4048" i="3"/>
  <c r="K4051" i="3" s="1"/>
  <c r="K4039" i="3"/>
  <c r="K4042" i="3" s="1"/>
  <c r="K4043" i="3" s="1"/>
  <c r="K4044" i="3" s="1"/>
  <c r="E4030" i="3"/>
  <c r="K4006" i="3"/>
  <c r="K3999" i="3"/>
  <c r="K3987" i="3"/>
  <c r="K3990" i="3" s="1"/>
  <c r="G3973" i="3"/>
  <c r="K3973" i="3" s="1"/>
  <c r="G3931" i="3"/>
  <c r="K3925" i="3"/>
  <c r="G3923" i="3"/>
  <c r="K3911" i="3"/>
  <c r="K3910" i="3"/>
  <c r="K3909" i="3"/>
  <c r="K3908" i="3"/>
  <c r="K3907" i="3"/>
  <c r="E3795" i="3"/>
  <c r="K3795" i="3" s="1"/>
  <c r="E3784" i="3"/>
  <c r="K3784" i="3" s="1"/>
  <c r="K3757" i="3"/>
  <c r="K3735" i="3"/>
  <c r="K3734" i="3"/>
  <c r="K3722" i="3"/>
  <c r="K3721" i="3"/>
  <c r="K3720" i="3"/>
  <c r="K3718" i="3"/>
  <c r="K3714" i="3"/>
  <c r="K3716" i="3" s="1"/>
  <c r="K3711" i="3"/>
  <c r="K3710" i="3"/>
  <c r="K3709" i="3"/>
  <c r="K3708" i="3"/>
  <c r="G3707" i="3"/>
  <c r="K3707" i="3" s="1"/>
  <c r="G3706" i="3"/>
  <c r="K3706" i="3" s="1"/>
  <c r="K3704" i="3"/>
  <c r="K3703" i="3"/>
  <c r="K3698" i="3"/>
  <c r="K3686" i="3"/>
  <c r="K3690" i="3" s="1"/>
  <c r="K3677" i="3"/>
  <c r="K3680" i="3" s="1"/>
  <c r="K3681" i="3" s="1"/>
  <c r="K3682" i="3" s="1"/>
  <c r="K3668" i="3"/>
  <c r="K3667" i="3"/>
  <c r="K3666" i="3"/>
  <c r="K3638" i="3"/>
  <c r="K3641" i="3" s="1"/>
  <c r="K3646" i="3" s="1"/>
  <c r="K3649" i="3" s="1"/>
  <c r="K3650" i="3" s="1"/>
  <c r="K3651" i="3" s="1"/>
  <c r="K3629" i="3"/>
  <c r="K3632" i="3" s="1"/>
  <c r="K3623" i="3"/>
  <c r="K3610" i="3"/>
  <c r="K3589" i="3"/>
  <c r="K3576" i="3"/>
  <c r="K3575" i="3"/>
  <c r="K3574" i="3"/>
  <c r="I3566" i="3"/>
  <c r="K3566" i="3" s="1"/>
  <c r="I3565" i="3"/>
  <c r="K3565" i="3" s="1"/>
  <c r="G3552" i="3"/>
  <c r="K3552" i="3" s="1"/>
  <c r="K3551" i="3"/>
  <c r="K3550" i="3"/>
  <c r="K3541" i="3"/>
  <c r="K3525" i="3"/>
  <c r="K3524" i="3"/>
  <c r="K3516" i="3"/>
  <c r="K3519" i="3" s="1"/>
  <c r="K3508" i="3"/>
  <c r="K3511" i="3" s="1"/>
  <c r="K3500" i="3"/>
  <c r="K3503" i="3" s="1"/>
  <c r="K3490" i="3"/>
  <c r="K3489" i="3"/>
  <c r="I3483" i="3"/>
  <c r="K3483" i="3" s="1"/>
  <c r="K3472" i="3"/>
  <c r="K3471" i="3"/>
  <c r="K3459" i="3"/>
  <c r="K3450" i="3"/>
  <c r="K3449" i="3"/>
  <c r="K3435" i="3"/>
  <c r="K3434" i="3"/>
  <c r="K3423" i="3"/>
  <c r="K3413" i="3"/>
  <c r="K3412" i="3"/>
  <c r="K3402" i="3"/>
  <c r="K3401" i="3"/>
  <c r="K3392" i="3"/>
  <c r="K3391" i="3"/>
  <c r="K3381" i="3"/>
  <c r="K3380" i="3"/>
  <c r="K3371" i="3"/>
  <c r="K3370" i="3"/>
  <c r="K3361" i="3"/>
  <c r="K3360" i="3"/>
  <c r="K3335" i="3"/>
  <c r="K3333" i="3"/>
  <c r="K3332" i="3"/>
  <c r="K3331" i="3"/>
  <c r="K3330" i="3"/>
  <c r="K3321" i="3"/>
  <c r="K3320" i="3"/>
  <c r="K3310" i="3"/>
  <c r="K3309" i="3"/>
  <c r="K3300" i="3"/>
  <c r="K3298" i="3"/>
  <c r="I3293" i="3"/>
  <c r="K3293" i="3" s="1"/>
  <c r="K3294" i="3" s="1"/>
  <c r="K3284" i="3"/>
  <c r="K3283" i="3"/>
  <c r="K3263" i="3"/>
  <c r="K3262" i="3"/>
  <c r="K3248" i="3"/>
  <c r="K3247" i="3"/>
  <c r="K3223" i="3"/>
  <c r="K3210" i="3"/>
  <c r="G3192" i="3"/>
  <c r="K3192" i="3" s="1"/>
  <c r="K3179" i="3"/>
  <c r="K3182" i="3" s="1"/>
  <c r="K3169" i="3"/>
  <c r="K3168" i="3"/>
  <c r="K3155" i="3"/>
  <c r="K3154" i="3"/>
  <c r="K3145" i="3"/>
  <c r="K3144" i="3"/>
  <c r="K3131" i="3"/>
  <c r="K3130" i="3"/>
  <c r="K3117" i="3"/>
  <c r="K3116" i="3"/>
  <c r="K3115" i="3"/>
  <c r="K3105" i="3"/>
  <c r="K3104" i="3"/>
  <c r="K3095" i="3"/>
  <c r="K3094" i="3"/>
  <c r="G3081" i="3"/>
  <c r="K3081" i="3" s="1"/>
  <c r="G3080" i="3"/>
  <c r="K3080" i="3" s="1"/>
  <c r="K3078" i="3"/>
  <c r="K3064" i="3"/>
  <c r="K3063" i="3"/>
  <c r="K3061" i="3"/>
  <c r="G3053" i="3"/>
  <c r="K3053" i="3" s="1"/>
  <c r="G3052" i="3"/>
  <c r="K3052" i="3" s="1"/>
  <c r="K3051" i="3"/>
  <c r="K3042" i="3"/>
  <c r="K3041" i="3"/>
  <c r="K3040" i="3"/>
  <c r="K3031" i="3"/>
  <c r="E3030" i="3"/>
  <c r="K3030" i="3" s="1"/>
  <c r="K3021" i="3"/>
  <c r="K3020" i="3"/>
  <c r="K3010" i="3"/>
  <c r="K3009" i="3"/>
  <c r="K2996" i="3"/>
  <c r="K2995" i="3"/>
  <c r="K2967" i="3"/>
  <c r="K2965" i="3"/>
  <c r="I2960" i="3"/>
  <c r="K2960" i="3" s="1"/>
  <c r="K2961" i="3" s="1"/>
  <c r="K2955" i="3"/>
  <c r="K2956" i="3" s="1"/>
  <c r="K2934" i="3"/>
  <c r="K2938" i="3" s="1"/>
  <c r="K2918" i="3"/>
  <c r="K2917" i="3"/>
  <c r="K2912" i="3"/>
  <c r="K2913" i="3" s="1"/>
  <c r="K2893" i="3"/>
  <c r="K2891" i="3"/>
  <c r="K2890" i="3"/>
  <c r="K2885" i="3"/>
  <c r="K2886" i="3" s="1"/>
  <c r="K2881" i="3"/>
  <c r="K2861" i="3"/>
  <c r="K2860" i="3"/>
  <c r="K2859" i="3"/>
  <c r="K2858" i="3"/>
  <c r="K2855" i="3"/>
  <c r="K2854" i="3"/>
  <c r="K2850" i="3"/>
  <c r="K2844" i="3"/>
  <c r="K2845" i="3" s="1"/>
  <c r="K2834" i="3"/>
  <c r="K2835" i="3" s="1"/>
  <c r="K2823" i="3"/>
  <c r="K2822" i="3"/>
  <c r="K2813" i="3"/>
  <c r="K2812" i="3"/>
  <c r="K2803" i="3"/>
  <c r="K2802" i="3"/>
  <c r="K2791" i="3"/>
  <c r="K2790" i="3"/>
  <c r="K2780" i="3"/>
  <c r="K2783" i="3" s="1"/>
  <c r="K2773" i="3"/>
  <c r="K2740" i="3"/>
  <c r="K2742" i="3" s="1"/>
  <c r="K2739" i="3"/>
  <c r="K2727" i="3"/>
  <c r="K2728" i="3" s="1"/>
  <c r="K2700" i="3"/>
  <c r="K2688" i="3"/>
  <c r="K2687" i="3"/>
  <c r="K2682" i="3"/>
  <c r="K2683" i="3" s="1"/>
  <c r="K2677" i="3"/>
  <c r="K2678" i="3" s="1"/>
  <c r="K2673" i="3"/>
  <c r="K2668" i="3"/>
  <c r="K2663" i="3"/>
  <c r="K2658" i="3"/>
  <c r="K2648" i="3"/>
  <c r="K2646" i="3"/>
  <c r="K2635" i="3"/>
  <c r="K2634" i="3"/>
  <c r="K2633" i="3"/>
  <c r="K2619" i="3"/>
  <c r="K2618" i="3"/>
  <c r="G2599" i="3"/>
  <c r="K2599" i="3" s="1"/>
  <c r="G2598" i="3"/>
  <c r="K2598" i="3" s="1"/>
  <c r="G2597" i="3"/>
  <c r="K2597" i="3" s="1"/>
  <c r="G2596" i="3"/>
  <c r="K2596" i="3" s="1"/>
  <c r="G2595" i="3"/>
  <c r="K2595" i="3" s="1"/>
  <c r="G2594" i="3"/>
  <c r="K2594" i="3" s="1"/>
  <c r="K2593" i="3"/>
  <c r="K2592" i="3"/>
  <c r="K2587" i="3"/>
  <c r="K2588" i="3" s="1"/>
  <c r="K2560" i="3"/>
  <c r="K2559" i="3"/>
  <c r="K2555" i="3"/>
  <c r="K2544" i="3"/>
  <c r="K2547" i="3" s="1"/>
  <c r="K2533" i="3"/>
  <c r="K2532" i="3"/>
  <c r="K2512" i="3"/>
  <c r="K2513" i="3" s="1"/>
  <c r="K2491" i="3"/>
  <c r="I2490" i="3"/>
  <c r="K2490" i="3" s="1"/>
  <c r="I2489" i="3"/>
  <c r="K2489" i="3" s="1"/>
  <c r="I2488" i="3"/>
  <c r="K2488" i="3" s="1"/>
  <c r="G2487" i="3"/>
  <c r="K2486" i="3"/>
  <c r="G2485" i="3"/>
  <c r="K2484" i="3"/>
  <c r="K2470" i="3"/>
  <c r="K2464" i="3"/>
  <c r="K2458" i="3"/>
  <c r="K2457" i="3"/>
  <c r="K2451" i="3"/>
  <c r="K2450" i="3"/>
  <c r="J2353" i="3"/>
  <c r="K2353" i="3" s="1"/>
  <c r="J2352" i="3"/>
  <c r="K2352" i="3" s="1"/>
  <c r="I2330" i="3"/>
  <c r="K2330" i="3" s="1"/>
  <c r="I2329" i="3"/>
  <c r="K2329" i="3" s="1"/>
  <c r="I2321" i="3"/>
  <c r="K2321" i="3" s="1"/>
  <c r="K2315" i="3"/>
  <c r="I2291" i="3"/>
  <c r="K2291" i="3" s="1"/>
  <c r="I2290" i="3"/>
  <c r="K2290" i="3" s="1"/>
  <c r="I2289" i="3"/>
  <c r="K2289" i="3" s="1"/>
  <c r="I2288" i="3"/>
  <c r="K2288" i="3" s="1"/>
  <c r="G2287" i="3"/>
  <c r="I2287" i="3" s="1"/>
  <c r="K2287" i="3" s="1"/>
  <c r="G2286" i="3"/>
  <c r="I2286" i="3" s="1"/>
  <c r="K2286" i="3" s="1"/>
  <c r="G2285" i="3"/>
  <c r="I2285" i="3" s="1"/>
  <c r="K2285" i="3" s="1"/>
  <c r="G2284" i="3"/>
  <c r="I2284" i="3" s="1"/>
  <c r="K2284" i="3" s="1"/>
  <c r="G2283" i="3"/>
  <c r="I2283" i="3" s="1"/>
  <c r="K2283" i="3" s="1"/>
  <c r="I2282" i="3"/>
  <c r="K2282" i="3" s="1"/>
  <c r="I2281" i="3"/>
  <c r="K2281" i="3" s="1"/>
  <c r="I2246" i="3"/>
  <c r="K2246" i="3" s="1"/>
  <c r="I2242" i="3"/>
  <c r="K2242" i="3" s="1"/>
  <c r="I2241" i="3"/>
  <c r="K2241" i="3" s="1"/>
  <c r="G2208" i="3"/>
  <c r="K2208" i="3" s="1"/>
  <c r="I2191" i="3"/>
  <c r="K2191" i="3" s="1"/>
  <c r="I2190" i="3"/>
  <c r="K2190" i="3" s="1"/>
  <c r="I2189" i="3"/>
  <c r="K2189" i="3" s="1"/>
  <c r="I2188" i="3"/>
  <c r="K2188" i="3" s="1"/>
  <c r="G2187" i="3"/>
  <c r="I2187" i="3" s="1"/>
  <c r="K2187" i="3" s="1"/>
  <c r="G2186" i="3"/>
  <c r="I2186" i="3" s="1"/>
  <c r="K2186" i="3" s="1"/>
  <c r="G2185" i="3"/>
  <c r="I2183" i="3"/>
  <c r="K2183" i="3" s="1"/>
  <c r="G2183" i="3"/>
  <c r="I2182" i="3"/>
  <c r="K2182" i="3" s="1"/>
  <c r="I2181" i="3"/>
  <c r="K2181" i="3" s="1"/>
  <c r="I2162" i="3"/>
  <c r="K2162" i="3" s="1"/>
  <c r="I2161" i="3"/>
  <c r="K2161" i="3" s="1"/>
  <c r="I2160" i="3"/>
  <c r="K2160" i="3" s="1"/>
  <c r="I2159" i="3"/>
  <c r="K2159" i="3" s="1"/>
  <c r="G2158" i="3"/>
  <c r="I2158" i="3" s="1"/>
  <c r="K2158" i="3" s="1"/>
  <c r="G2157" i="3"/>
  <c r="I2157" i="3" s="1"/>
  <c r="K2157" i="3" s="1"/>
  <c r="G2156" i="3"/>
  <c r="K2154" i="3"/>
  <c r="I2153" i="3"/>
  <c r="K2153" i="3" s="1"/>
  <c r="I2152" i="3"/>
  <c r="K2152" i="3" s="1"/>
  <c r="I2146" i="3"/>
  <c r="K2146" i="3" s="1"/>
  <c r="K2145" i="3"/>
  <c r="I2143" i="3"/>
  <c r="K2143" i="3" s="1"/>
  <c r="I2137" i="3"/>
  <c r="K2137" i="3" s="1"/>
  <c r="K2136" i="3"/>
  <c r="K2122" i="3"/>
  <c r="G2121" i="3"/>
  <c r="K2121" i="3" s="1"/>
  <c r="K2120" i="3"/>
  <c r="K2119" i="3"/>
  <c r="K2107" i="3"/>
  <c r="G2106" i="3"/>
  <c r="K2106" i="3" s="1"/>
  <c r="K2105" i="3"/>
  <c r="K2104" i="3"/>
  <c r="K2083" i="3"/>
  <c r="K2082" i="3"/>
  <c r="K2081" i="3"/>
  <c r="K2080" i="3"/>
  <c r="E2065" i="3"/>
  <c r="K2056" i="3"/>
  <c r="K2054" i="3"/>
  <c r="G2053" i="3"/>
  <c r="K2053" i="3" s="1"/>
  <c r="K2052" i="3"/>
  <c r="K2043" i="3"/>
  <c r="K2042" i="3"/>
  <c r="G2035" i="3"/>
  <c r="G2033" i="3"/>
  <c r="K2029" i="3"/>
  <c r="H2019" i="3"/>
  <c r="K2019" i="3" s="1"/>
  <c r="E2018" i="3"/>
  <c r="H2018" i="3" s="1"/>
  <c r="K2018" i="3" s="1"/>
  <c r="K2017" i="3"/>
  <c r="K2016" i="3"/>
  <c r="E1989" i="3"/>
  <c r="K1989" i="3" s="1"/>
  <c r="K1987" i="3"/>
  <c r="K1961" i="3"/>
  <c r="K1960" i="3"/>
  <c r="K1944" i="3"/>
  <c r="K1951" i="3" s="1"/>
  <c r="K1935" i="3"/>
  <c r="G1934" i="3"/>
  <c r="K1934" i="3" s="1"/>
  <c r="K1933" i="3"/>
  <c r="I1896" i="3"/>
  <c r="K1896" i="3" s="1"/>
  <c r="I1895" i="3"/>
  <c r="K1895" i="3" s="1"/>
  <c r="G1894" i="3"/>
  <c r="K1893" i="3"/>
  <c r="K1892" i="3"/>
  <c r="I1889" i="3"/>
  <c r="K1889" i="3" s="1"/>
  <c r="I1888" i="3"/>
  <c r="K1888" i="3" s="1"/>
  <c r="K1858" i="3"/>
  <c r="K1844" i="3"/>
  <c r="K1847" i="3" s="1"/>
  <c r="I1839" i="3"/>
  <c r="K1839" i="3" s="1"/>
  <c r="K1840" i="3" s="1"/>
  <c r="I1834" i="3"/>
  <c r="K1834" i="3" s="1"/>
  <c r="K1835" i="3" s="1"/>
  <c r="K1825" i="3"/>
  <c r="E1824" i="3"/>
  <c r="K1824" i="3" s="1"/>
  <c r="K1823" i="3"/>
  <c r="G1822" i="3"/>
  <c r="K1822" i="3" s="1"/>
  <c r="K1821" i="3"/>
  <c r="K1810" i="3"/>
  <c r="E1809" i="3"/>
  <c r="K1809" i="3" s="1"/>
  <c r="K1808" i="3"/>
  <c r="G1807" i="3"/>
  <c r="K1807" i="3" s="1"/>
  <c r="K1806" i="3"/>
  <c r="K1796" i="3"/>
  <c r="E1795" i="3"/>
  <c r="K1795" i="3" s="1"/>
  <c r="K1794" i="3"/>
  <c r="K1793" i="3"/>
  <c r="K1792" i="3"/>
  <c r="G1792" i="3"/>
  <c r="K1791" i="3"/>
  <c r="K1779" i="3"/>
  <c r="G1778" i="3"/>
  <c r="K1778" i="3" s="1"/>
  <c r="K1777" i="3"/>
  <c r="I1748" i="3"/>
  <c r="K1748" i="3" s="1"/>
  <c r="K1737" i="3"/>
  <c r="K1738" i="3" s="1"/>
  <c r="K1732" i="3"/>
  <c r="K1733" i="3" s="1"/>
  <c r="K1727" i="3"/>
  <c r="K1728" i="3" s="1"/>
  <c r="K1713" i="3"/>
  <c r="G1701" i="3"/>
  <c r="K1701" i="3" s="1"/>
  <c r="K1703" i="3" s="1"/>
  <c r="K1695" i="3"/>
  <c r="I1681" i="3"/>
  <c r="K1681" i="3" s="1"/>
  <c r="K1682" i="3" s="1"/>
  <c r="K1683" i="3" s="1"/>
  <c r="I1660" i="3"/>
  <c r="K1660" i="3" s="1"/>
  <c r="I1659" i="3"/>
  <c r="K1659" i="3" s="1"/>
  <c r="I1658" i="3"/>
  <c r="K1658" i="3" s="1"/>
  <c r="G1657" i="3"/>
  <c r="I1656" i="3"/>
  <c r="K1656" i="3" s="1"/>
  <c r="G1655" i="3"/>
  <c r="I1653" i="3"/>
  <c r="K1653" i="3" s="1"/>
  <c r="I1652" i="3"/>
  <c r="K1652" i="3" s="1"/>
  <c r="I1651" i="3"/>
  <c r="K1651" i="3" s="1"/>
  <c r="I1650" i="3"/>
  <c r="K1650" i="3" s="1"/>
  <c r="I1638" i="3"/>
  <c r="K1638" i="3" s="1"/>
  <c r="I1637" i="3"/>
  <c r="K1637" i="3" s="1"/>
  <c r="I1636" i="3"/>
  <c r="K1636" i="3" s="1"/>
  <c r="G1635" i="3"/>
  <c r="I1634" i="3"/>
  <c r="K1634" i="3" s="1"/>
  <c r="G1633" i="3"/>
  <c r="I1632" i="3"/>
  <c r="K1632" i="3" s="1"/>
  <c r="I1631" i="3"/>
  <c r="K1631" i="3" s="1"/>
  <c r="I1630" i="3"/>
  <c r="K1630" i="3" s="1"/>
  <c r="I1629" i="3"/>
  <c r="K1629" i="3" s="1"/>
  <c r="I1628" i="3"/>
  <c r="K1628" i="3" s="1"/>
  <c r="G1616" i="3"/>
  <c r="K1616" i="3" s="1"/>
  <c r="K1619" i="3" s="1"/>
  <c r="I1593" i="3"/>
  <c r="K1593" i="3" s="1"/>
  <c r="I1592" i="3"/>
  <c r="K1592" i="3" s="1"/>
  <c r="I1591" i="3"/>
  <c r="K1591" i="3" s="1"/>
  <c r="G1590" i="3"/>
  <c r="I1589" i="3"/>
  <c r="K1589" i="3" s="1"/>
  <c r="G1588" i="3"/>
  <c r="I1587" i="3"/>
  <c r="K1587" i="3" s="1"/>
  <c r="I1586" i="3"/>
  <c r="K1586" i="3" s="1"/>
  <c r="E1585" i="3"/>
  <c r="I1585" i="3" s="1"/>
  <c r="K1585" i="3" s="1"/>
  <c r="K1584" i="3"/>
  <c r="K1583" i="3"/>
  <c r="I1573" i="3"/>
  <c r="K1573" i="3" s="1"/>
  <c r="I1572" i="3"/>
  <c r="K1572" i="3" s="1"/>
  <c r="I1571" i="3"/>
  <c r="K1571" i="3" s="1"/>
  <c r="I1570" i="3"/>
  <c r="K1570" i="3" s="1"/>
  <c r="I1569" i="3"/>
  <c r="K1569" i="3" s="1"/>
  <c r="I1568" i="3"/>
  <c r="K1568" i="3" s="1"/>
  <c r="I1567" i="3"/>
  <c r="K1567" i="3" s="1"/>
  <c r="E1566" i="3"/>
  <c r="I1566" i="3" s="1"/>
  <c r="K1566" i="3" s="1"/>
  <c r="I1565" i="3"/>
  <c r="K1565" i="3" s="1"/>
  <c r="I1564" i="3"/>
  <c r="K1564" i="3" s="1"/>
  <c r="I1559" i="3"/>
  <c r="K1549" i="3"/>
  <c r="K1550" i="3" s="1"/>
  <c r="K1544" i="3"/>
  <c r="K1545" i="3" s="1"/>
  <c r="K1540" i="3"/>
  <c r="K1529" i="3"/>
  <c r="K1530" i="3" s="1"/>
  <c r="G1518" i="3"/>
  <c r="K1518" i="3" s="1"/>
  <c r="G1517" i="3"/>
  <c r="K1517" i="3" s="1"/>
  <c r="G1516" i="3"/>
  <c r="K1516" i="3" s="1"/>
  <c r="G1514" i="3"/>
  <c r="K1514" i="3" s="1"/>
  <c r="E1507" i="3"/>
  <c r="E1506" i="3"/>
  <c r="I1505" i="3"/>
  <c r="G1505" i="3"/>
  <c r="I1504" i="3"/>
  <c r="G1504" i="3"/>
  <c r="E1498" i="3"/>
  <c r="K1498" i="3" s="1"/>
  <c r="E1497" i="3"/>
  <c r="K1497" i="3" s="1"/>
  <c r="G1496" i="3"/>
  <c r="E1496" i="3"/>
  <c r="I1495" i="3"/>
  <c r="G1495" i="3"/>
  <c r="I1494" i="3"/>
  <c r="E1487" i="3"/>
  <c r="K1487" i="3" s="1"/>
  <c r="E1486" i="3"/>
  <c r="K1486" i="3" s="1"/>
  <c r="I1485" i="3"/>
  <c r="I1484" i="3"/>
  <c r="E1483" i="3"/>
  <c r="K1483" i="3" s="1"/>
  <c r="E1482" i="3"/>
  <c r="K1482" i="3" s="1"/>
  <c r="I1481" i="3"/>
  <c r="G1481" i="3"/>
  <c r="I1480" i="3"/>
  <c r="I1479" i="3"/>
  <c r="E1458" i="3"/>
  <c r="K1458" i="3" s="1"/>
  <c r="E1457" i="3"/>
  <c r="K1457" i="3" s="1"/>
  <c r="I1456" i="3"/>
  <c r="I1446" i="3"/>
  <c r="G1446" i="3"/>
  <c r="E1446" i="3"/>
  <c r="E1445" i="3"/>
  <c r="K1445" i="3" s="1"/>
  <c r="E1444" i="3"/>
  <c r="K1444" i="3" s="1"/>
  <c r="E1443" i="3"/>
  <c r="K1443" i="3" s="1"/>
  <c r="I1442" i="3"/>
  <c r="I1441" i="3"/>
  <c r="G1441" i="3"/>
  <c r="I1440" i="3"/>
  <c r="I1439" i="3"/>
  <c r="I1438" i="3"/>
  <c r="G1438" i="3"/>
  <c r="I1437" i="3"/>
  <c r="I1436" i="3"/>
  <c r="G1436" i="3"/>
  <c r="E1436" i="3"/>
  <c r="I1435" i="3"/>
  <c r="G1435" i="3"/>
  <c r="E1435" i="3"/>
  <c r="I1434" i="3"/>
  <c r="G1434" i="3"/>
  <c r="I1433" i="3"/>
  <c r="I1432" i="3"/>
  <c r="I1431" i="3"/>
  <c r="G1431" i="3"/>
  <c r="G1424" i="3"/>
  <c r="E1424" i="3"/>
  <c r="E1423" i="3"/>
  <c r="K1423" i="3" s="1"/>
  <c r="I1422" i="3"/>
  <c r="I1421" i="3"/>
  <c r="I1420" i="3"/>
  <c r="I1419" i="3"/>
  <c r="I1418" i="3"/>
  <c r="G1418" i="3"/>
  <c r="I1417" i="3"/>
  <c r="I1416" i="3"/>
  <c r="I1415" i="3"/>
  <c r="G1415" i="3"/>
  <c r="I1407" i="3"/>
  <c r="G1407" i="3"/>
  <c r="I1406" i="3"/>
  <c r="E1406" i="3"/>
  <c r="E1405" i="3"/>
  <c r="K1405" i="3" s="1"/>
  <c r="E1404" i="3"/>
  <c r="K1404" i="3" s="1"/>
  <c r="E1403" i="3"/>
  <c r="K1403" i="3" s="1"/>
  <c r="I1402" i="3"/>
  <c r="I1401" i="3"/>
  <c r="G1401" i="3"/>
  <c r="I1400" i="3"/>
  <c r="I1399" i="3"/>
  <c r="I1398" i="3"/>
  <c r="G1398" i="3"/>
  <c r="I1397" i="3"/>
  <c r="I1396" i="3"/>
  <c r="I1395" i="3"/>
  <c r="G1395" i="3"/>
  <c r="I1380" i="3"/>
  <c r="I1379" i="3"/>
  <c r="G1379" i="3"/>
  <c r="I1378" i="3"/>
  <c r="E1378" i="3"/>
  <c r="E1377" i="3"/>
  <c r="K1377" i="3" s="1"/>
  <c r="E1376" i="3"/>
  <c r="K1376" i="3" s="1"/>
  <c r="E1375" i="3"/>
  <c r="K1375" i="3" s="1"/>
  <c r="I1374" i="3"/>
  <c r="I1373" i="3"/>
  <c r="I1372" i="3"/>
  <c r="I1371" i="3"/>
  <c r="I1370" i="3"/>
  <c r="G1370" i="3"/>
  <c r="E1370" i="3"/>
  <c r="I1369" i="3"/>
  <c r="G1369" i="3"/>
  <c r="I1368" i="3"/>
  <c r="I1367" i="3"/>
  <c r="I1366" i="3"/>
  <c r="G1366" i="3"/>
  <c r="E1359" i="3"/>
  <c r="K1359" i="3" s="1"/>
  <c r="I1358" i="3"/>
  <c r="I1357" i="3"/>
  <c r="E1356" i="3"/>
  <c r="K1356" i="3" s="1"/>
  <c r="I1350" i="3"/>
  <c r="E1350" i="3"/>
  <c r="E1349" i="3"/>
  <c r="K1349" i="3" s="1"/>
  <c r="E1348" i="3"/>
  <c r="K1348" i="3" s="1"/>
  <c r="E1347" i="3"/>
  <c r="K1347" i="3" s="1"/>
  <c r="I1346" i="3"/>
  <c r="I1345" i="3"/>
  <c r="I1344" i="3"/>
  <c r="I1343" i="3"/>
  <c r="I1342" i="3"/>
  <c r="G1342" i="3"/>
  <c r="I1341" i="3"/>
  <c r="I1340" i="3"/>
  <c r="G1340" i="3"/>
  <c r="E1340" i="3"/>
  <c r="I1339" i="3"/>
  <c r="G1339" i="3"/>
  <c r="E1339" i="3"/>
  <c r="I1338" i="3"/>
  <c r="G1338" i="3"/>
  <c r="I1337" i="3"/>
  <c r="I1336" i="3"/>
  <c r="I1335" i="3"/>
  <c r="G1335" i="3"/>
  <c r="I1328" i="3"/>
  <c r="E1328" i="3"/>
  <c r="E1327" i="3"/>
  <c r="K1327" i="3" s="1"/>
  <c r="I1326" i="3"/>
  <c r="G1326" i="3"/>
  <c r="E1325" i="3"/>
  <c r="K1325" i="3" s="1"/>
  <c r="I1324" i="3"/>
  <c r="G1324" i="3"/>
  <c r="E1324" i="3"/>
  <c r="E1323" i="3"/>
  <c r="K1323" i="3" s="1"/>
  <c r="E1322" i="3"/>
  <c r="K1322" i="3" s="1"/>
  <c r="I1321" i="3"/>
  <c r="I1320" i="3"/>
  <c r="I1319" i="3"/>
  <c r="I1318" i="3"/>
  <c r="I1317" i="3"/>
  <c r="G1317" i="3"/>
  <c r="I1311" i="3"/>
  <c r="G1311" i="3"/>
  <c r="E1310" i="3"/>
  <c r="K1310" i="3" s="1"/>
  <c r="E1309" i="3"/>
  <c r="K1309" i="3" s="1"/>
  <c r="I1308" i="3"/>
  <c r="G1308" i="3"/>
  <c r="I1307" i="3"/>
  <c r="G1307" i="3"/>
  <c r="I1306" i="3"/>
  <c r="I1305" i="3"/>
  <c r="I1304" i="3"/>
  <c r="G1304" i="3"/>
  <c r="I1303" i="3"/>
  <c r="I1302" i="3"/>
  <c r="G1302" i="3"/>
  <c r="E1302" i="3"/>
  <c r="I1301" i="3"/>
  <c r="G1301" i="3"/>
  <c r="E1301" i="3"/>
  <c r="I1300" i="3"/>
  <c r="G1300" i="3"/>
  <c r="I1299" i="3"/>
  <c r="I1298" i="3"/>
  <c r="I1297" i="3"/>
  <c r="G1297" i="3"/>
  <c r="E1290" i="3"/>
  <c r="K1290" i="3" s="1"/>
  <c r="E1289" i="3"/>
  <c r="K1289" i="3" s="1"/>
  <c r="I1288" i="3"/>
  <c r="G1288" i="3"/>
  <c r="I1287" i="3"/>
  <c r="I1286" i="3"/>
  <c r="G1286" i="3"/>
  <c r="I1285" i="3"/>
  <c r="I1284" i="3"/>
  <c r="I1283" i="3"/>
  <c r="G1283" i="3"/>
  <c r="G1275" i="3"/>
  <c r="E1275" i="3"/>
  <c r="I1274" i="3"/>
  <c r="G1274" i="3"/>
  <c r="I1273" i="3"/>
  <c r="I1272" i="3"/>
  <c r="I1271" i="3"/>
  <c r="I1270" i="3"/>
  <c r="G1270" i="3"/>
  <c r="I1262" i="3"/>
  <c r="E1262" i="3"/>
  <c r="E1261" i="3"/>
  <c r="I1260" i="3"/>
  <c r="G1260" i="3"/>
  <c r="E1259" i="3"/>
  <c r="I1258" i="3"/>
  <c r="G1258" i="3"/>
  <c r="E1257" i="3"/>
  <c r="I1256" i="3"/>
  <c r="G1256" i="3"/>
  <c r="I1255" i="3"/>
  <c r="I1254" i="3"/>
  <c r="I1253" i="3"/>
  <c r="I1252" i="3"/>
  <c r="G1252" i="3"/>
  <c r="I1251" i="3"/>
  <c r="I1250" i="3"/>
  <c r="G1250" i="3"/>
  <c r="E1250" i="3"/>
  <c r="I1249" i="3"/>
  <c r="G1249" i="3"/>
  <c r="E1249" i="3"/>
  <c r="I1248" i="3"/>
  <c r="G1248" i="3"/>
  <c r="I1247" i="3"/>
  <c r="I1246" i="3"/>
  <c r="I1245" i="3"/>
  <c r="G1245" i="3"/>
  <c r="I1238" i="3"/>
  <c r="E1238" i="3"/>
  <c r="E1237" i="3"/>
  <c r="K1237" i="3" s="1"/>
  <c r="I1236" i="3"/>
  <c r="E1235" i="3"/>
  <c r="K1235" i="3" s="1"/>
  <c r="I1234" i="3"/>
  <c r="G1234" i="3"/>
  <c r="E1233" i="3"/>
  <c r="K1233" i="3" s="1"/>
  <c r="I1232" i="3"/>
  <c r="I1231" i="3"/>
  <c r="I1230" i="3"/>
  <c r="I1229" i="3"/>
  <c r="I1228" i="3"/>
  <c r="G1228" i="3"/>
  <c r="I1227" i="3"/>
  <c r="I1226" i="3"/>
  <c r="G1226" i="3"/>
  <c r="E1226" i="3"/>
  <c r="I1225" i="3"/>
  <c r="G1225" i="3"/>
  <c r="E1225" i="3"/>
  <c r="I1224" i="3"/>
  <c r="G1224" i="3"/>
  <c r="I1223" i="3"/>
  <c r="I1222" i="3"/>
  <c r="I1221" i="3"/>
  <c r="G1221" i="3"/>
  <c r="E1214" i="3"/>
  <c r="K1214" i="3" s="1"/>
  <c r="E1213" i="3"/>
  <c r="K1213" i="3" s="1"/>
  <c r="I1212" i="3"/>
  <c r="G1212" i="3"/>
  <c r="I1211" i="3"/>
  <c r="G1211" i="3"/>
  <c r="E1210" i="3"/>
  <c r="K1210" i="3" s="1"/>
  <c r="I1209" i="3"/>
  <c r="G1209" i="3"/>
  <c r="I1208" i="3"/>
  <c r="I1207" i="3"/>
  <c r="I1206" i="3"/>
  <c r="I1205" i="3"/>
  <c r="G1205" i="3"/>
  <c r="I1204" i="3"/>
  <c r="I1203" i="3"/>
  <c r="G1203" i="3"/>
  <c r="E1203" i="3"/>
  <c r="I1202" i="3"/>
  <c r="I1201" i="3"/>
  <c r="I1200" i="3"/>
  <c r="G1200" i="3"/>
  <c r="E1193" i="3"/>
  <c r="E1192" i="3"/>
  <c r="E1181" i="3"/>
  <c r="K1181" i="3" s="1"/>
  <c r="E1180" i="3"/>
  <c r="K1180" i="3" s="1"/>
  <c r="I1179" i="3"/>
  <c r="G1179" i="3"/>
  <c r="I1178" i="3"/>
  <c r="G1178" i="3"/>
  <c r="E1177" i="3"/>
  <c r="K1177" i="3" s="1"/>
  <c r="I1176" i="3"/>
  <c r="G1176" i="3"/>
  <c r="I1175" i="3"/>
  <c r="G1175" i="3"/>
  <c r="I1174" i="3"/>
  <c r="I1173" i="3"/>
  <c r="I1172" i="3"/>
  <c r="I1171" i="3"/>
  <c r="I1170" i="3"/>
  <c r="G1170" i="3"/>
  <c r="E1170" i="3"/>
  <c r="I1169" i="3"/>
  <c r="G1169" i="3"/>
  <c r="E1169" i="3"/>
  <c r="I1168" i="3"/>
  <c r="G1168" i="3"/>
  <c r="I1167" i="3"/>
  <c r="I1166" i="3"/>
  <c r="I1165" i="3"/>
  <c r="G1165" i="3"/>
  <c r="E1158" i="3"/>
  <c r="E1157" i="3"/>
  <c r="I1156" i="3"/>
  <c r="G1156" i="3"/>
  <c r="E1155" i="3"/>
  <c r="I1154" i="3"/>
  <c r="G1154" i="3"/>
  <c r="I1153" i="3"/>
  <c r="I1152" i="3"/>
  <c r="I1151" i="3"/>
  <c r="I1150" i="3"/>
  <c r="G1150" i="3"/>
  <c r="E1143" i="3"/>
  <c r="E1142" i="3"/>
  <c r="I1141" i="3"/>
  <c r="G1141" i="3"/>
  <c r="E1140" i="3"/>
  <c r="K1140" i="3" s="1"/>
  <c r="I1139" i="3"/>
  <c r="G1139" i="3"/>
  <c r="I1138" i="3"/>
  <c r="I1137" i="3"/>
  <c r="I1136" i="3"/>
  <c r="I1135" i="3"/>
  <c r="G1135" i="3"/>
  <c r="I1134" i="3"/>
  <c r="I1133" i="3"/>
  <c r="G1133" i="3"/>
  <c r="E1133" i="3"/>
  <c r="I1132" i="3"/>
  <c r="G1132" i="3"/>
  <c r="E1125" i="3"/>
  <c r="K1125" i="3" s="1"/>
  <c r="I1124" i="3"/>
  <c r="E1124" i="3"/>
  <c r="I1123" i="3"/>
  <c r="I1122" i="3"/>
  <c r="I1121" i="3"/>
  <c r="I1120" i="3"/>
  <c r="I1119" i="3"/>
  <c r="G1119" i="3"/>
  <c r="I1118" i="3"/>
  <c r="I1117" i="3"/>
  <c r="G1117" i="3"/>
  <c r="E1117" i="3"/>
  <c r="I1116" i="3"/>
  <c r="G1116" i="3"/>
  <c r="E1109" i="3"/>
  <c r="E1108" i="3"/>
  <c r="E1107" i="3"/>
  <c r="K1107" i="3" s="1"/>
  <c r="E1101" i="3"/>
  <c r="E1100" i="3"/>
  <c r="G1099" i="3"/>
  <c r="E1099" i="3"/>
  <c r="I1098" i="3"/>
  <c r="G1092" i="3"/>
  <c r="E1092" i="3"/>
  <c r="G1091" i="3"/>
  <c r="E1091" i="3"/>
  <c r="E1090" i="3"/>
  <c r="E1084" i="3"/>
  <c r="E1083" i="3"/>
  <c r="G1082" i="3"/>
  <c r="I1081" i="3"/>
  <c r="I1080" i="3"/>
  <c r="G1080" i="3"/>
  <c r="I1079" i="3"/>
  <c r="I1078" i="3"/>
  <c r="I1077" i="3"/>
  <c r="G1077" i="3"/>
  <c r="I1076" i="3"/>
  <c r="I1075" i="3"/>
  <c r="G1075" i="3"/>
  <c r="E1075" i="3"/>
  <c r="I1074" i="3"/>
  <c r="G1074" i="3"/>
  <c r="I1073" i="3"/>
  <c r="G1073" i="3"/>
  <c r="I1072" i="3"/>
  <c r="G1072" i="3"/>
  <c r="G1065" i="3"/>
  <c r="E1065" i="3"/>
  <c r="E1064" i="3"/>
  <c r="I1063" i="3"/>
  <c r="G1063" i="3"/>
  <c r="I1062" i="3"/>
  <c r="I1061" i="3"/>
  <c r="I1060" i="3"/>
  <c r="I1059" i="3"/>
  <c r="G1059" i="3"/>
  <c r="E1053" i="3"/>
  <c r="G1052" i="3"/>
  <c r="I1051" i="3"/>
  <c r="I1050" i="3"/>
  <c r="I1049" i="3"/>
  <c r="I1048" i="3"/>
  <c r="I1047" i="3"/>
  <c r="G1047" i="3"/>
  <c r="I1046" i="3"/>
  <c r="I1045" i="3"/>
  <c r="G1045" i="3"/>
  <c r="E1045" i="3"/>
  <c r="I1044" i="3"/>
  <c r="G1044" i="3"/>
  <c r="E1037" i="3"/>
  <c r="I1036" i="3"/>
  <c r="E1036" i="3"/>
  <c r="I1035" i="3"/>
  <c r="I1034" i="3"/>
  <c r="E1028" i="3"/>
  <c r="K1028" i="3" s="1"/>
  <c r="G1027" i="3"/>
  <c r="E1027" i="3"/>
  <c r="I1026" i="3"/>
  <c r="I1025" i="3"/>
  <c r="I1024" i="3"/>
  <c r="I1023" i="3"/>
  <c r="I1022" i="3"/>
  <c r="G1022" i="3"/>
  <c r="E1016" i="3"/>
  <c r="E1015" i="3"/>
  <c r="I1014" i="3"/>
  <c r="I1013" i="3"/>
  <c r="G1013" i="3"/>
  <c r="I1012" i="3"/>
  <c r="I1011" i="3"/>
  <c r="I1010" i="3"/>
  <c r="I1009" i="3"/>
  <c r="G1009" i="3"/>
  <c r="J1484" i="3"/>
  <c r="E1014" i="3"/>
  <c r="J1252" i="3"/>
  <c r="E1438" i="3"/>
  <c r="E1003" i="3"/>
  <c r="E1002" i="3"/>
  <c r="I1001" i="3"/>
  <c r="J1122" i="3"/>
  <c r="I1000" i="3"/>
  <c r="J1174" i="3"/>
  <c r="E1207" i="3"/>
  <c r="I999" i="3"/>
  <c r="I998" i="3"/>
  <c r="J1433" i="3"/>
  <c r="E1480" i="3"/>
  <c r="I997" i="3"/>
  <c r="J1118" i="3"/>
  <c r="E1419" i="3"/>
  <c r="I996" i="3"/>
  <c r="G996" i="3"/>
  <c r="E997" i="3"/>
  <c r="E1082" i="3"/>
  <c r="J1338" i="3"/>
  <c r="J1505" i="3"/>
  <c r="E1494" i="3"/>
  <c r="E1236" i="3"/>
  <c r="J1262" i="3"/>
  <c r="E989" i="3"/>
  <c r="J1324" i="3"/>
  <c r="I988" i="3"/>
  <c r="I987" i="3"/>
  <c r="E987" i="3"/>
  <c r="I986" i="3"/>
  <c r="E978" i="3"/>
  <c r="I976" i="3"/>
  <c r="I975" i="3"/>
  <c r="G975" i="3"/>
  <c r="I974" i="3"/>
  <c r="I973" i="3"/>
  <c r="I972" i="3"/>
  <c r="G972" i="3"/>
  <c r="K965" i="3"/>
  <c r="K967" i="3" s="1"/>
  <c r="K968" i="3" s="1"/>
  <c r="K921" i="3"/>
  <c r="K900" i="3"/>
  <c r="K868" i="3"/>
  <c r="K869" i="3" s="1"/>
  <c r="K857" i="3"/>
  <c r="K840" i="3"/>
  <c r="K841" i="3" s="1"/>
  <c r="K829" i="3"/>
  <c r="K830" i="3" s="1"/>
  <c r="K819" i="3"/>
  <c r="K820" i="3" s="1"/>
  <c r="K814" i="3"/>
  <c r="K815" i="3" s="1"/>
  <c r="K764" i="3"/>
  <c r="K768" i="3" s="1"/>
  <c r="K758" i="3"/>
  <c r="K759" i="3" s="1"/>
  <c r="K760" i="3" s="1"/>
  <c r="K737" i="3"/>
  <c r="I728" i="3"/>
  <c r="K728" i="3" s="1"/>
  <c r="K729" i="3" s="1"/>
  <c r="I722" i="3"/>
  <c r="K722" i="3" s="1"/>
  <c r="K715" i="3"/>
  <c r="K675" i="3"/>
  <c r="K668" i="3"/>
  <c r="K655" i="3"/>
  <c r="K654" i="3"/>
  <c r="K653" i="3"/>
  <c r="K640" i="3"/>
  <c r="K638" i="3"/>
  <c r="K637" i="3"/>
  <c r="G613" i="3"/>
  <c r="K613" i="3" s="1"/>
  <c r="K566" i="3"/>
  <c r="K522" i="3"/>
  <c r="K523" i="3" s="1"/>
  <c r="K495" i="3"/>
  <c r="K494" i="3"/>
  <c r="K483" i="3"/>
  <c r="K482" i="3"/>
  <c r="K478" i="3"/>
  <c r="K466" i="3"/>
  <c r="K465" i="3"/>
  <c r="K448" i="3"/>
  <c r="K423" i="3"/>
  <c r="K338" i="3"/>
  <c r="K341" i="3" s="1"/>
  <c r="K320" i="3"/>
  <c r="K2649" i="3" l="1"/>
  <c r="K2652" i="3" s="1"/>
  <c r="K2020" i="3"/>
  <c r="K2023" i="3" s="1"/>
  <c r="K2355" i="3"/>
  <c r="K2356" i="3" s="1"/>
  <c r="K4001" i="3"/>
  <c r="K4002" i="3" s="1"/>
  <c r="K3567" i="3"/>
  <c r="K3762" i="3"/>
  <c r="K3763" i="3" s="1"/>
  <c r="K3764" i="3" s="1"/>
  <c r="K2459" i="3"/>
  <c r="K2460" i="3" s="1"/>
  <c r="K1782" i="3"/>
  <c r="K1785" i="3" s="1"/>
  <c r="K1786" i="3" s="1"/>
  <c r="K1787" i="3" s="1"/>
  <c r="K4420" i="3"/>
  <c r="K4423" i="3" s="1"/>
  <c r="K4552" i="3"/>
  <c r="K4555" i="3" s="1"/>
  <c r="K4556" i="3" s="1"/>
  <c r="K4557" i="3" s="1"/>
  <c r="K1496" i="3"/>
  <c r="K1275" i="3"/>
  <c r="K1424" i="3"/>
  <c r="K1484" i="3"/>
  <c r="K1324" i="3"/>
  <c r="K1027" i="3"/>
  <c r="K1559" i="3"/>
  <c r="K1560" i="3" s="1"/>
  <c r="K3578" i="3"/>
  <c r="K3581" i="3" s="1"/>
  <c r="K3582" i="3" s="1"/>
  <c r="K3583" i="3" s="1"/>
  <c r="K3265" i="3"/>
  <c r="K3268" i="3" s="1"/>
  <c r="K3269" i="3" s="1"/>
  <c r="K3270" i="3" s="1"/>
  <c r="K3135" i="3"/>
  <c r="K3138" i="3" s="1"/>
  <c r="K3139" i="3" s="1"/>
  <c r="K3140" i="3" s="1"/>
  <c r="K1812" i="3"/>
  <c r="K1815" i="3" s="1"/>
  <c r="K315" i="3"/>
  <c r="K316" i="3" s="1"/>
  <c r="K4278" i="3"/>
  <c r="K4130" i="3"/>
  <c r="K2415" i="3"/>
  <c r="K2518" i="3"/>
  <c r="K322" i="3"/>
  <c r="K3712" i="3"/>
  <c r="K3301" i="3"/>
  <c r="K3304" i="3" s="1"/>
  <c r="K3305" i="3" s="1"/>
  <c r="K2743" i="3"/>
  <c r="K2746" i="3" s="1"/>
  <c r="K723" i="3"/>
  <c r="K3798" i="3"/>
  <c r="K4030" i="3"/>
  <c r="K4033" i="3" s="1"/>
  <c r="K4034" i="3" s="1"/>
  <c r="K4035" i="3" s="1"/>
  <c r="K809" i="3"/>
  <c r="K4590" i="3"/>
  <c r="K3699" i="3"/>
  <c r="K3991" i="3"/>
  <c r="K2717" i="3"/>
  <c r="K2720" i="3" s="1"/>
  <c r="K3669" i="3"/>
  <c r="K4112" i="3"/>
  <c r="K3599" i="3"/>
  <c r="K3602" i="3" s="1"/>
  <c r="K3787" i="3"/>
  <c r="K4111" i="3"/>
  <c r="K2065" i="3"/>
  <c r="K2066" i="3" s="1"/>
  <c r="K2069" i="3" s="1"/>
  <c r="K4108" i="3"/>
  <c r="K4113" i="3"/>
  <c r="K3462" i="3"/>
  <c r="K3465" i="3" s="1"/>
  <c r="K3466" i="3" s="1"/>
  <c r="K3467" i="3" s="1"/>
  <c r="K614" i="3"/>
  <c r="K29" i="7"/>
  <c r="L29" i="7" s="1"/>
  <c r="K1848" i="3"/>
  <c r="K3504" i="3"/>
  <c r="K738" i="3"/>
  <c r="K35" i="7"/>
  <c r="L35" i="7" s="1"/>
  <c r="M35" i="7" s="1"/>
  <c r="K18" i="7"/>
  <c r="L18" i="7" s="1"/>
  <c r="M18" i="7" s="1"/>
  <c r="K4" i="7"/>
  <c r="L4" i="7" s="1"/>
  <c r="M4" i="7" s="1"/>
  <c r="K3482" i="3"/>
  <c r="K3484" i="3" s="1"/>
  <c r="K3485" i="3" s="1"/>
  <c r="K3844" i="3"/>
  <c r="K2432" i="3"/>
  <c r="K2475" i="3"/>
  <c r="K2033" i="3"/>
  <c r="K2314" i="3"/>
  <c r="K2316" i="3" s="1"/>
  <c r="K2317" i="3" s="1"/>
  <c r="K3958" i="3"/>
  <c r="K1108" i="3"/>
  <c r="K3445" i="3"/>
  <c r="K4195" i="3"/>
  <c r="K3827" i="3"/>
  <c r="K4255" i="3"/>
  <c r="K1109" i="3"/>
  <c r="K2322" i="3"/>
  <c r="K3840" i="3"/>
  <c r="K577" i="3"/>
  <c r="K578" i="3" s="1"/>
  <c r="K2523" i="3"/>
  <c r="K2331" i="3"/>
  <c r="E1154" i="3"/>
  <c r="E1481" i="3"/>
  <c r="K567" i="3"/>
  <c r="K901" i="3"/>
  <c r="K1090" i="3"/>
  <c r="K1867" i="3"/>
  <c r="K1868" i="3" s="1"/>
  <c r="K2138" i="3"/>
  <c r="K2139" i="3" s="1"/>
  <c r="K2753" i="3"/>
  <c r="K2991" i="3"/>
  <c r="K3949" i="3"/>
  <c r="K4196" i="3"/>
  <c r="K4256" i="3"/>
  <c r="K4431" i="3"/>
  <c r="K3611" i="3"/>
  <c r="K3758" i="3"/>
  <c r="K4052" i="3"/>
  <c r="K7" i="7"/>
  <c r="L7" i="7" s="1"/>
  <c r="M7" i="7" s="1"/>
  <c r="K16" i="7"/>
  <c r="L16" i="7" s="1"/>
  <c r="K432" i="3"/>
  <c r="K433" i="3" s="1"/>
  <c r="K2427" i="3"/>
  <c r="K2754" i="3"/>
  <c r="K3775" i="3"/>
  <c r="K3950" i="3"/>
  <c r="K3961" i="3"/>
  <c r="K4197" i="3"/>
  <c r="K4257" i="3"/>
  <c r="K4432" i="3"/>
  <c r="K17" i="7"/>
  <c r="L17" i="7" s="1"/>
  <c r="K21" i="7"/>
  <c r="L21" i="7" s="1"/>
  <c r="K1873" i="3"/>
  <c r="K2034" i="3"/>
  <c r="K2755" i="3"/>
  <c r="K3776" i="3"/>
  <c r="K3951" i="3"/>
  <c r="K3962" i="3"/>
  <c r="K4248" i="3"/>
  <c r="K4258" i="3"/>
  <c r="K2548" i="3"/>
  <c r="K28" i="7"/>
  <c r="L28" i="7" s="1"/>
  <c r="M28" i="7" s="1"/>
  <c r="K569" i="3"/>
  <c r="K908" i="3"/>
  <c r="K909" i="3" s="1"/>
  <c r="K2035" i="3"/>
  <c r="K2756" i="3"/>
  <c r="K3777" i="3"/>
  <c r="K3900" i="3"/>
  <c r="K3963" i="3"/>
  <c r="K4249" i="3"/>
  <c r="K4261" i="3"/>
  <c r="K570" i="3"/>
  <c r="K1749" i="3"/>
  <c r="K2147" i="3"/>
  <c r="K2757" i="3"/>
  <c r="K3345" i="3"/>
  <c r="K3778" i="3"/>
  <c r="K3841" i="3"/>
  <c r="K3901" i="3"/>
  <c r="K3955" i="3"/>
  <c r="K3964" i="3"/>
  <c r="K4250" i="3"/>
  <c r="K4262" i="3"/>
  <c r="K4346" i="3"/>
  <c r="K2784" i="3"/>
  <c r="K3691" i="3"/>
  <c r="K528" i="3"/>
  <c r="K716" i="3"/>
  <c r="K902" i="3"/>
  <c r="K571" i="3"/>
  <c r="K666" i="3"/>
  <c r="K2036" i="3"/>
  <c r="K2758" i="3"/>
  <c r="K3242" i="3"/>
  <c r="K3243" i="3" s="1"/>
  <c r="K3842" i="3"/>
  <c r="K3956" i="3"/>
  <c r="K4251" i="3"/>
  <c r="K4268" i="3"/>
  <c r="K4326" i="3"/>
  <c r="K31" i="7"/>
  <c r="L31" i="7" s="1"/>
  <c r="M31" i="7" s="1"/>
  <c r="K825" i="3"/>
  <c r="K568" i="3"/>
  <c r="K572" i="3"/>
  <c r="K667" i="3"/>
  <c r="K899" i="3"/>
  <c r="K2759" i="3"/>
  <c r="K3534" i="3"/>
  <c r="K3536" i="3" s="1"/>
  <c r="K3655" i="3"/>
  <c r="K3656" i="3" s="1"/>
  <c r="K3843" i="3"/>
  <c r="K3957" i="3"/>
  <c r="K4194" i="3"/>
  <c r="K4252" i="3"/>
  <c r="K4269" i="3"/>
  <c r="K3633" i="3"/>
  <c r="K4372" i="3"/>
  <c r="K3" i="7"/>
  <c r="L3" i="7" s="1"/>
  <c r="K34" i="7"/>
  <c r="L34" i="7" s="1"/>
  <c r="M34" i="7" s="1"/>
  <c r="K24" i="7"/>
  <c r="L24" i="7" s="1"/>
  <c r="M24" i="7" s="1"/>
  <c r="K27" i="7"/>
  <c r="L27" i="7" s="1"/>
  <c r="M27" i="7" s="1"/>
  <c r="K39" i="7"/>
  <c r="L39" i="7" s="1"/>
  <c r="M39" i="7" s="1"/>
  <c r="K6" i="7"/>
  <c r="L6" i="7" s="1"/>
  <c r="K37" i="7"/>
  <c r="L37" i="7" s="1"/>
  <c r="M37" i="7" s="1"/>
  <c r="I2485" i="3"/>
  <c r="K2485" i="3" s="1"/>
  <c r="K3032" i="3"/>
  <c r="K3035" i="3" s="1"/>
  <c r="J1379" i="3"/>
  <c r="I2155" i="3"/>
  <c r="K2155" i="3" s="1"/>
  <c r="K1962" i="3"/>
  <c r="K1965" i="3" s="1"/>
  <c r="K4157" i="3"/>
  <c r="K4159" i="3" s="1"/>
  <c r="K4162" i="3" s="1"/>
  <c r="K2814" i="3"/>
  <c r="K2817" i="3" s="1"/>
  <c r="K2818" i="3" s="1"/>
  <c r="K467" i="3"/>
  <c r="K470" i="3" s="1"/>
  <c r="K3425" i="3"/>
  <c r="K3428" i="3" s="1"/>
  <c r="K3429" i="3" s="1"/>
  <c r="K3430" i="3" s="1"/>
  <c r="K3491" i="3"/>
  <c r="K3494" i="3" s="1"/>
  <c r="K3495" i="3" s="1"/>
  <c r="K3496" i="3" s="1"/>
  <c r="J1303" i="3"/>
  <c r="I1635" i="3"/>
  <c r="K1635" i="3" s="1"/>
  <c r="K1082" i="3"/>
  <c r="K3096" i="3"/>
  <c r="K3099" i="3" s="1"/>
  <c r="K3393" i="3"/>
  <c r="K3396" i="3" s="1"/>
  <c r="K43" i="7"/>
  <c r="L43" i="7" s="1"/>
  <c r="M43" i="7" s="1"/>
  <c r="K9" i="7"/>
  <c r="L9" i="7" s="1"/>
  <c r="M9" i="7" s="1"/>
  <c r="K22" i="7"/>
  <c r="L22" i="7" s="1"/>
  <c r="M22" i="7" s="1"/>
  <c r="K25" i="7"/>
  <c r="L25" i="7" s="1"/>
  <c r="M25" i="7" s="1"/>
  <c r="K40" i="7"/>
  <c r="L40" i="7" s="1"/>
  <c r="M40" i="7" s="1"/>
  <c r="K12" i="7"/>
  <c r="L12" i="7" s="1"/>
  <c r="K20" i="7"/>
  <c r="L20" i="7" s="1"/>
  <c r="K23" i="7"/>
  <c r="L23" i="7" s="1"/>
  <c r="M23" i="7" s="1"/>
  <c r="K26" i="7"/>
  <c r="L26" i="7" s="1"/>
  <c r="K41" i="7"/>
  <c r="L41" i="7" s="1"/>
  <c r="M41" i="7" s="1"/>
  <c r="K8" i="7"/>
  <c r="L8" i="7" s="1"/>
  <c r="M8" i="7" s="1"/>
  <c r="K769" i="3"/>
  <c r="K4392" i="3"/>
  <c r="K973" i="3"/>
  <c r="J1476" i="3"/>
  <c r="I1657" i="3"/>
  <c r="K1657" i="3" s="1"/>
  <c r="K2774" i="3"/>
  <c r="K3011" i="3"/>
  <c r="K3014" i="3" s="1"/>
  <c r="K3015" i="3" s="1"/>
  <c r="K3016" i="3" s="1"/>
  <c r="K3473" i="3"/>
  <c r="K3476" i="3" s="1"/>
  <c r="K4565" i="3"/>
  <c r="K4568" i="3" s="1"/>
  <c r="J1419" i="3"/>
  <c r="K1419" i="3" s="1"/>
  <c r="K1622" i="3"/>
  <c r="K1623" i="3" s="1"/>
  <c r="K1624" i="3" s="1"/>
  <c r="I1894" i="3"/>
  <c r="K1894" i="3" s="1"/>
  <c r="K1897" i="3" s="1"/>
  <c r="K1900" i="3" s="1"/>
  <c r="K1901" i="3" s="1"/>
  <c r="K1902" i="3" s="1"/>
  <c r="K3362" i="3"/>
  <c r="K3365" i="3" s="1"/>
  <c r="K3366" i="3" s="1"/>
  <c r="K3736" i="3"/>
  <c r="K3739" i="3" s="1"/>
  <c r="K3740" i="3" s="1"/>
  <c r="K3741" i="3" s="1"/>
  <c r="K484" i="3"/>
  <c r="K487" i="3" s="1"/>
  <c r="I1590" i="3"/>
  <c r="K1590" i="3" s="1"/>
  <c r="K2209" i="3"/>
  <c r="K3311" i="3"/>
  <c r="K3314" i="3" s="1"/>
  <c r="K3315" i="3" s="1"/>
  <c r="K3316" i="3" s="1"/>
  <c r="K3590" i="3"/>
  <c r="K3593" i="3" s="1"/>
  <c r="K3594" i="3" s="1"/>
  <c r="K3595" i="3" s="1"/>
  <c r="K4056" i="3"/>
  <c r="K4059" i="3" s="1"/>
  <c r="K4062" i="3" s="1"/>
  <c r="K4349" i="3"/>
  <c r="K4580" i="3"/>
  <c r="J1212" i="3"/>
  <c r="E977" i="3"/>
  <c r="K977" i="3" s="1"/>
  <c r="K2010" i="3"/>
  <c r="K2011" i="3" s="1"/>
  <c r="K2012" i="3" s="1"/>
  <c r="I2156" i="3"/>
  <c r="K2156" i="3" s="1"/>
  <c r="I2185" i="3"/>
  <c r="K2185" i="3" s="1"/>
  <c r="K2620" i="3"/>
  <c r="K2623" i="3" s="1"/>
  <c r="K4007" i="3"/>
  <c r="K4010" i="3" s="1"/>
  <c r="K4011" i="3" s="1"/>
  <c r="K4012" i="3" s="1"/>
  <c r="K4109" i="3"/>
  <c r="K4596" i="3"/>
  <c r="K4597" i="3" s="1"/>
  <c r="K418" i="3"/>
  <c r="E1046" i="3"/>
  <c r="E1060" i="3"/>
  <c r="J1137" i="3"/>
  <c r="E1335" i="3"/>
  <c r="E1297" i="3"/>
  <c r="E996" i="3"/>
  <c r="K1262" i="3"/>
  <c r="E1072" i="3"/>
  <c r="J1134" i="3"/>
  <c r="E1166" i="3"/>
  <c r="J1270" i="3"/>
  <c r="E1306" i="3"/>
  <c r="J1399" i="3"/>
  <c r="I1655" i="3"/>
  <c r="K1655" i="3" s="1"/>
  <c r="K2561" i="3"/>
  <c r="K2564" i="3" s="1"/>
  <c r="K2804" i="3"/>
  <c r="K2807" i="3" s="1"/>
  <c r="K2808" i="3" s="1"/>
  <c r="K2939" i="3"/>
  <c r="K3106" i="3"/>
  <c r="K3109" i="3" s="1"/>
  <c r="K3170" i="3"/>
  <c r="K3173" i="3" s="1"/>
  <c r="K3174" i="3" s="1"/>
  <c r="K3175" i="3" s="1"/>
  <c r="E1415" i="3"/>
  <c r="E972" i="3"/>
  <c r="E1212" i="3"/>
  <c r="J1260" i="3"/>
  <c r="E1271" i="3"/>
  <c r="J1366" i="3"/>
  <c r="E1044" i="3"/>
  <c r="J1151" i="3"/>
  <c r="E1222" i="3"/>
  <c r="J1230" i="3"/>
  <c r="E1357" i="3"/>
  <c r="E1372" i="3"/>
  <c r="K2534" i="3"/>
  <c r="K2537" i="3" s="1"/>
  <c r="K3146" i="3"/>
  <c r="K3149" i="3" s="1"/>
  <c r="K3213" i="3"/>
  <c r="K3216" i="3" s="1"/>
  <c r="K3217" i="3" s="1"/>
  <c r="K3218" i="3" s="1"/>
  <c r="K3322" i="3"/>
  <c r="K3325" i="3" s="1"/>
  <c r="K3372" i="3"/>
  <c r="K3375" i="3" s="1"/>
  <c r="K3403" i="3"/>
  <c r="K3406" i="3" s="1"/>
  <c r="K3451" i="3"/>
  <c r="K3454" i="3" s="1"/>
  <c r="K3512" i="3"/>
  <c r="K3912" i="3"/>
  <c r="K3915" i="3" s="1"/>
  <c r="J1152" i="3"/>
  <c r="K3723" i="3"/>
  <c r="K2108" i="3"/>
  <c r="K2111" i="3" s="1"/>
  <c r="K3972" i="3"/>
  <c r="K3976" i="3" s="1"/>
  <c r="K3979" i="3" s="1"/>
  <c r="J1328" i="3"/>
  <c r="K1328" i="3" s="1"/>
  <c r="E1437" i="3"/>
  <c r="E1399" i="3"/>
  <c r="E1118" i="3"/>
  <c r="K1118" i="3" s="1"/>
  <c r="E1076" i="3"/>
  <c r="E1227" i="3"/>
  <c r="J1481" i="3"/>
  <c r="E1048" i="3"/>
  <c r="E1206" i="3"/>
  <c r="E1173" i="3"/>
  <c r="E1253" i="3"/>
  <c r="J1206" i="3"/>
  <c r="J1136" i="3"/>
  <c r="J1305" i="3"/>
  <c r="J1120" i="3"/>
  <c r="E1251" i="3"/>
  <c r="E1485" i="3"/>
  <c r="E1407" i="3"/>
  <c r="E1288" i="3"/>
  <c r="E1165" i="3"/>
  <c r="E1284" i="3"/>
  <c r="E1246" i="3"/>
  <c r="E1432" i="3"/>
  <c r="E1201" i="3"/>
  <c r="K1036" i="3"/>
  <c r="E1052" i="3"/>
  <c r="K1052" i="3" s="1"/>
  <c r="J1179" i="3"/>
  <c r="J1326" i="3"/>
  <c r="J1343" i="3"/>
  <c r="E1396" i="3"/>
  <c r="J1406" i="3"/>
  <c r="K1406" i="3" s="1"/>
  <c r="K1574" i="3"/>
  <c r="K1577" i="3" s="1"/>
  <c r="K1578" i="3" s="1"/>
  <c r="K1579" i="3" s="1"/>
  <c r="K1706" i="3"/>
  <c r="K1707" i="3" s="1"/>
  <c r="K1708" i="3" s="1"/>
  <c r="E1120" i="3"/>
  <c r="K2600" i="3"/>
  <c r="K2603" i="3" s="1"/>
  <c r="K342" i="3"/>
  <c r="J1415" i="3"/>
  <c r="J1495" i="3"/>
  <c r="J1357" i="3"/>
  <c r="J1317" i="3"/>
  <c r="J1494" i="3"/>
  <c r="K1494" i="3" s="1"/>
  <c r="J1245" i="3"/>
  <c r="K997" i="3"/>
  <c r="J1420" i="3"/>
  <c r="J1254" i="3"/>
  <c r="J1344" i="3"/>
  <c r="E1010" i="3"/>
  <c r="K1010" i="3" s="1"/>
  <c r="E1137" i="3"/>
  <c r="E1152" i="3"/>
  <c r="J1200" i="3"/>
  <c r="E1229" i="3"/>
  <c r="J1283" i="3"/>
  <c r="I1588" i="3"/>
  <c r="K1588" i="3" s="1"/>
  <c r="I1633" i="3"/>
  <c r="K1633" i="3" s="1"/>
  <c r="K1936" i="3"/>
  <c r="K1939" i="3" s="1"/>
  <c r="J1350" i="3"/>
  <c r="K1350" i="3" s="1"/>
  <c r="J1238" i="3"/>
  <c r="K1238" i="3" s="1"/>
  <c r="K3043" i="3"/>
  <c r="K3046" i="3" s="1"/>
  <c r="E1371" i="3"/>
  <c r="E1439" i="3"/>
  <c r="E1441" i="3"/>
  <c r="E999" i="3"/>
  <c r="E975" i="3"/>
  <c r="E1341" i="3"/>
  <c r="K2689" i="3"/>
  <c r="K2692" i="3" s="1"/>
  <c r="K1797" i="3"/>
  <c r="K1800" i="3" s="1"/>
  <c r="K1801" i="3" s="1"/>
  <c r="K1802" i="3" s="1"/>
  <c r="K3193" i="3"/>
  <c r="K3196" i="3" s="1"/>
  <c r="K3197" i="3" s="1"/>
  <c r="K3198" i="3" s="1"/>
  <c r="K496" i="3"/>
  <c r="K499" i="3" s="1"/>
  <c r="J1371" i="3"/>
  <c r="K1924" i="3"/>
  <c r="K1927" i="3" s="1"/>
  <c r="K1928" i="3" s="1"/>
  <c r="K1929" i="3" s="1"/>
  <c r="K2084" i="3"/>
  <c r="K2087" i="3" s="1"/>
  <c r="K3542" i="3"/>
  <c r="K3545" i="3" s="1"/>
  <c r="K641" i="3"/>
  <c r="K644" i="3" s="1"/>
  <c r="K987" i="3"/>
  <c r="K1954" i="3"/>
  <c r="K1955" i="3" s="1"/>
  <c r="K1956" i="3" s="1"/>
  <c r="I2487" i="3"/>
  <c r="K2487" i="3" s="1"/>
  <c r="K2824" i="3"/>
  <c r="K2827" i="3" s="1"/>
  <c r="K2919" i="3"/>
  <c r="K2922" i="3" s="1"/>
  <c r="K3022" i="3"/>
  <c r="K3025" i="3" s="1"/>
  <c r="K3285" i="3"/>
  <c r="K3288" i="3" s="1"/>
  <c r="K3289" i="3" s="1"/>
  <c r="K3334" i="3"/>
  <c r="K3336" i="3" s="1"/>
  <c r="K3339" i="3" s="1"/>
  <c r="K3340" i="3" s="1"/>
  <c r="K3382" i="3"/>
  <c r="K3385" i="3" s="1"/>
  <c r="K3386" i="3" s="1"/>
  <c r="K3387" i="3" s="1"/>
  <c r="K2465" i="3"/>
  <c r="K2636" i="3"/>
  <c r="K2639" i="3" s="1"/>
  <c r="K2892" i="3"/>
  <c r="K2894" i="3" s="1"/>
  <c r="K2897" i="3" s="1"/>
  <c r="K3624" i="3"/>
  <c r="K3814" i="3"/>
  <c r="K4633" i="3"/>
  <c r="K4634" i="3" s="1"/>
  <c r="K4496" i="3"/>
  <c r="K4499" i="3" s="1"/>
  <c r="K2210" i="3"/>
  <c r="K2452" i="3"/>
  <c r="K2453" i="3" s="1"/>
  <c r="K2968" i="3"/>
  <c r="K2971" i="3" s="1"/>
  <c r="K2972" i="3" s="1"/>
  <c r="K2973" i="3" s="1"/>
  <c r="K3056" i="3"/>
  <c r="K3057" i="3" s="1"/>
  <c r="K2792" i="3"/>
  <c r="K3159" i="3"/>
  <c r="K3162" i="3" s="1"/>
  <c r="K3163" i="3" s="1"/>
  <c r="K3164" i="3" s="1"/>
  <c r="K3249" i="3"/>
  <c r="K3252" i="3" s="1"/>
  <c r="K3520" i="3"/>
  <c r="K3927" i="3"/>
  <c r="K3930" i="3" s="1"/>
  <c r="K656" i="3"/>
  <c r="K659" i="3" s="1"/>
  <c r="K1014" i="3"/>
  <c r="J1236" i="3"/>
  <c r="K1236" i="3" s="1"/>
  <c r="E1418" i="3"/>
  <c r="E1358" i="3"/>
  <c r="E1300" i="3"/>
  <c r="E1258" i="3"/>
  <c r="E1116" i="3"/>
  <c r="E1369" i="3"/>
  <c r="E1338" i="3"/>
  <c r="K1338" i="3" s="1"/>
  <c r="E1211" i="3"/>
  <c r="E1074" i="3"/>
  <c r="E1504" i="3"/>
  <c r="E1234" i="3"/>
  <c r="E1150" i="3"/>
  <c r="E1434" i="3"/>
  <c r="E1248" i="3"/>
  <c r="E1168" i="3"/>
  <c r="E1156" i="3"/>
  <c r="E1132" i="3"/>
  <c r="E1456" i="3"/>
  <c r="E1224" i="3"/>
  <c r="E1141" i="3"/>
  <c r="E1178" i="3"/>
  <c r="E1398" i="3"/>
  <c r="E1380" i="3"/>
  <c r="J1301" i="3"/>
  <c r="K1301" i="3" s="1"/>
  <c r="J1117" i="3"/>
  <c r="K1117" i="3" s="1"/>
  <c r="J1436" i="3"/>
  <c r="K1436" i="3" s="1"/>
  <c r="J1370" i="3"/>
  <c r="K1370" i="3" s="1"/>
  <c r="J1339" i="3"/>
  <c r="K1339" i="3" s="1"/>
  <c r="J1203" i="3"/>
  <c r="K1203" i="3" s="1"/>
  <c r="J1170" i="3"/>
  <c r="K1170" i="3" s="1"/>
  <c r="J1250" i="3"/>
  <c r="K1250" i="3" s="1"/>
  <c r="J1226" i="3"/>
  <c r="K1226" i="3" s="1"/>
  <c r="J1340" i="3"/>
  <c r="K1340" i="3" s="1"/>
  <c r="K1075" i="3"/>
  <c r="J1302" i="3"/>
  <c r="K1302" i="3" s="1"/>
  <c r="J1124" i="3"/>
  <c r="K1124" i="3" s="1"/>
  <c r="J1435" i="3"/>
  <c r="K1435" i="3" s="1"/>
  <c r="J1169" i="3"/>
  <c r="K1169" i="3" s="1"/>
  <c r="K1045" i="3"/>
  <c r="J1133" i="3"/>
  <c r="K1133" i="3" s="1"/>
  <c r="J1249" i="3"/>
  <c r="K1249" i="3" s="1"/>
  <c r="J1225" i="3"/>
  <c r="K1225" i="3" s="1"/>
  <c r="J1231" i="3"/>
  <c r="J1175" i="3"/>
  <c r="J1320" i="3"/>
  <c r="J1286" i="3"/>
  <c r="J1273" i="3"/>
  <c r="E974" i="3"/>
  <c r="E1505" i="3"/>
  <c r="K1505" i="3" s="1"/>
  <c r="E1395" i="3"/>
  <c r="E1317" i="3"/>
  <c r="E1311" i="3"/>
  <c r="E1270" i="3"/>
  <c r="E1260" i="3"/>
  <c r="E1221" i="3"/>
  <c r="E1495" i="3"/>
  <c r="E1379" i="3"/>
  <c r="E1283" i="3"/>
  <c r="E1245" i="3"/>
  <c r="E1179" i="3"/>
  <c r="E1073" i="3"/>
  <c r="E1204" i="3"/>
  <c r="E1303" i="3"/>
  <c r="E1151" i="3"/>
  <c r="E1134" i="3"/>
  <c r="E998" i="3"/>
  <c r="E1440" i="3"/>
  <c r="E1254" i="3"/>
  <c r="E1420" i="3"/>
  <c r="E1121" i="3"/>
  <c r="E1001" i="3"/>
  <c r="E1305" i="3"/>
  <c r="E1136" i="3"/>
  <c r="E1343" i="3"/>
  <c r="E1078" i="3"/>
  <c r="E1034" i="3"/>
  <c r="E1047" i="3"/>
  <c r="E1059" i="3"/>
  <c r="E1063" i="3"/>
  <c r="J1121" i="3"/>
  <c r="J1167" i="3"/>
  <c r="E1171" i="3"/>
  <c r="E1174" i="3"/>
  <c r="K1174" i="3" s="1"/>
  <c r="E1176" i="3"/>
  <c r="E1200" i="3"/>
  <c r="E1209" i="3"/>
  <c r="E1230" i="3"/>
  <c r="E1232" i="3"/>
  <c r="J1234" i="3"/>
  <c r="J1247" i="3"/>
  <c r="J1258" i="3"/>
  <c r="J1274" i="3"/>
  <c r="J1284" i="3"/>
  <c r="E1304" i="3"/>
  <c r="J1337" i="3"/>
  <c r="E1366" i="3"/>
  <c r="E1368" i="3"/>
  <c r="J1395" i="3"/>
  <c r="E1400" i="3"/>
  <c r="J1441" i="3"/>
  <c r="J1477" i="3"/>
  <c r="K1477" i="3" s="1"/>
  <c r="J1504" i="3"/>
  <c r="E976" i="3"/>
  <c r="E986" i="3"/>
  <c r="J1475" i="3"/>
  <c r="K1475" i="3" s="1"/>
  <c r="J1446" i="3"/>
  <c r="K1446" i="3" s="1"/>
  <c r="J1431" i="3"/>
  <c r="J1288" i="3"/>
  <c r="J1485" i="3"/>
  <c r="E1416" i="3"/>
  <c r="E1298" i="3"/>
  <c r="E1479" i="3"/>
  <c r="E1367" i="3"/>
  <c r="E1336" i="3"/>
  <c r="J1341" i="3"/>
  <c r="J1171" i="3"/>
  <c r="J1440" i="3"/>
  <c r="J1400" i="3"/>
  <c r="J1372" i="3"/>
  <c r="J1207" i="3"/>
  <c r="K1207" i="3" s="1"/>
  <c r="J1229" i="3"/>
  <c r="J1173" i="3"/>
  <c r="E1009" i="3"/>
  <c r="E1012" i="3"/>
  <c r="K1015" i="3"/>
  <c r="E1022" i="3"/>
  <c r="K1022" i="3" s="1"/>
  <c r="E1049" i="3"/>
  <c r="E1051" i="3"/>
  <c r="E1061" i="3"/>
  <c r="E1077" i="3"/>
  <c r="E1079" i="3"/>
  <c r="E1081" i="3"/>
  <c r="K1083" i="3"/>
  <c r="J1119" i="3"/>
  <c r="J1135" i="3"/>
  <c r="J1138" i="3"/>
  <c r="J1153" i="3"/>
  <c r="J1165" i="3"/>
  <c r="K1192" i="3"/>
  <c r="J1204" i="3"/>
  <c r="J1221" i="3"/>
  <c r="J1227" i="3"/>
  <c r="J1251" i="3"/>
  <c r="J1253" i="3"/>
  <c r="J1272" i="3"/>
  <c r="J1287" i="3"/>
  <c r="J1297" i="3"/>
  <c r="J1306" i="3"/>
  <c r="J1311" i="3"/>
  <c r="E1318" i="3"/>
  <c r="E1321" i="3"/>
  <c r="E1326" i="3"/>
  <c r="J1335" i="3"/>
  <c r="E1342" i="3"/>
  <c r="E1344" i="3"/>
  <c r="E1346" i="3"/>
  <c r="J1358" i="3"/>
  <c r="E1373" i="3"/>
  <c r="J1378" i="3"/>
  <c r="K1378" i="3" s="1"/>
  <c r="J1402" i="3"/>
  <c r="J1407" i="3"/>
  <c r="E1431" i="3"/>
  <c r="J1437" i="3"/>
  <c r="J1439" i="3"/>
  <c r="K1991" i="3"/>
  <c r="K1994" i="3" s="1"/>
  <c r="K1995" i="3" s="1"/>
  <c r="J1416" i="3"/>
  <c r="J1166" i="3"/>
  <c r="J1396" i="3"/>
  <c r="J1318" i="3"/>
  <c r="J1271" i="3"/>
  <c r="J1222" i="3"/>
  <c r="E1000" i="3"/>
  <c r="K1000" i="3" s="1"/>
  <c r="E1024" i="3"/>
  <c r="K1024" i="3" s="1"/>
  <c r="E1026" i="3"/>
  <c r="K1026" i="3" s="1"/>
  <c r="E1122" i="3"/>
  <c r="K1122" i="3" s="1"/>
  <c r="E1172" i="3"/>
  <c r="J1178" i="3"/>
  <c r="J1202" i="3"/>
  <c r="J1232" i="3"/>
  <c r="J1256" i="3"/>
  <c r="J1285" i="3"/>
  <c r="J1300" i="3"/>
  <c r="J1368" i="3"/>
  <c r="J1380" i="3"/>
  <c r="J1418" i="3"/>
  <c r="E1421" i="3"/>
  <c r="J1442" i="3"/>
  <c r="K1826" i="3"/>
  <c r="K1829" i="3" s="1"/>
  <c r="E1139" i="3"/>
  <c r="J1176" i="3"/>
  <c r="E1205" i="3"/>
  <c r="K1259" i="3"/>
  <c r="E1273" i="3"/>
  <c r="J1298" i="3"/>
  <c r="J1304" i="3"/>
  <c r="E1319" i="3"/>
  <c r="J1321" i="3"/>
  <c r="J1346" i="3"/>
  <c r="J1373" i="3"/>
  <c r="E1401" i="3"/>
  <c r="J1479" i="3"/>
  <c r="E1256" i="3"/>
  <c r="E1442" i="3"/>
  <c r="E1422" i="3"/>
  <c r="E1402" i="3"/>
  <c r="E1123" i="3"/>
  <c r="E1011" i="3"/>
  <c r="E1035" i="3"/>
  <c r="J1116" i="3"/>
  <c r="J1172" i="3"/>
  <c r="E1175" i="3"/>
  <c r="E1208" i="3"/>
  <c r="J1228" i="3"/>
  <c r="E1286" i="3"/>
  <c r="J1307" i="3"/>
  <c r="J1336" i="3"/>
  <c r="J1342" i="3"/>
  <c r="E1397" i="3"/>
  <c r="E1417" i="3"/>
  <c r="J1421" i="3"/>
  <c r="K2057" i="3"/>
  <c r="K2060" i="3" s="1"/>
  <c r="J1456" i="3"/>
  <c r="J1398" i="3"/>
  <c r="J1224" i="3"/>
  <c r="J1211" i="3"/>
  <c r="J1132" i="3"/>
  <c r="J1248" i="3"/>
  <c r="J1141" i="3"/>
  <c r="J1308" i="3"/>
  <c r="J1209" i="3"/>
  <c r="J1374" i="3"/>
  <c r="J1139" i="3"/>
  <c r="E1228" i="3"/>
  <c r="E1252" i="3"/>
  <c r="K1252" i="3" s="1"/>
  <c r="E1050" i="3"/>
  <c r="J1156" i="3"/>
  <c r="J1168" i="3"/>
  <c r="E1223" i="3"/>
  <c r="E1231" i="3"/>
  <c r="E1255" i="3"/>
  <c r="E1274" i="3"/>
  <c r="E1299" i="3"/>
  <c r="J1319" i="3"/>
  <c r="E1374" i="3"/>
  <c r="E1476" i="3"/>
  <c r="E1433" i="3"/>
  <c r="K1433" i="3" s="1"/>
  <c r="E1285" i="3"/>
  <c r="E1247" i="3"/>
  <c r="E1202" i="3"/>
  <c r="E1345" i="3"/>
  <c r="E1307" i="3"/>
  <c r="E1138" i="3"/>
  <c r="E1153" i="3"/>
  <c r="E1080" i="3"/>
  <c r="E1062" i="3"/>
  <c r="J1438" i="3"/>
  <c r="K1438" i="3" s="1"/>
  <c r="J1205" i="3"/>
  <c r="E1013" i="3"/>
  <c r="E1023" i="3"/>
  <c r="K1023" i="3" s="1"/>
  <c r="E1025" i="3"/>
  <c r="K1025" i="3" s="1"/>
  <c r="E1119" i="3"/>
  <c r="E1135" i="3"/>
  <c r="J1154" i="3"/>
  <c r="E1167" i="3"/>
  <c r="J1208" i="3"/>
  <c r="J1246" i="3"/>
  <c r="E1308" i="3"/>
  <c r="E1337" i="3"/>
  <c r="J1367" i="3"/>
  <c r="J1369" i="3"/>
  <c r="J1397" i="3"/>
  <c r="J1401" i="3"/>
  <c r="J1417" i="3"/>
  <c r="J1422" i="3"/>
  <c r="J1434" i="3"/>
  <c r="J1123" i="3"/>
  <c r="J1150" i="3"/>
  <c r="K1157" i="3"/>
  <c r="J1201" i="3"/>
  <c r="J1223" i="3"/>
  <c r="J1255" i="3"/>
  <c r="E1272" i="3"/>
  <c r="E1287" i="3"/>
  <c r="J1299" i="3"/>
  <c r="E1320" i="3"/>
  <c r="J1345" i="3"/>
  <c r="J1432" i="3"/>
  <c r="J1480" i="3"/>
  <c r="K1480" i="3" s="1"/>
  <c r="K2292" i="3"/>
  <c r="K2295" i="3" s="1"/>
  <c r="K3065" i="3"/>
  <c r="K3068" i="3" s="1"/>
  <c r="K3069" i="3" s="1"/>
  <c r="K3070" i="3" s="1"/>
  <c r="K3085" i="3"/>
  <c r="K3088" i="3" s="1"/>
  <c r="K3089" i="3" s="1"/>
  <c r="K3090" i="3" s="1"/>
  <c r="K2044" i="3"/>
  <c r="K2047" i="3" s="1"/>
  <c r="K2247" i="3"/>
  <c r="K2250" i="3" s="1"/>
  <c r="K2251" i="3" s="1"/>
  <c r="K2252" i="3" s="1"/>
  <c r="K3000" i="3"/>
  <c r="K3003" i="3" s="1"/>
  <c r="K3004" i="3" s="1"/>
  <c r="K3005" i="3" s="1"/>
  <c r="K2123" i="3"/>
  <c r="K2126" i="3" s="1"/>
  <c r="I2184" i="3"/>
  <c r="K2184" i="3" s="1"/>
  <c r="K2862" i="3"/>
  <c r="K2865" i="3" s="1"/>
  <c r="K3414" i="3"/>
  <c r="K3417" i="3" s="1"/>
  <c r="K3418" i="3" s="1"/>
  <c r="K3419" i="3" s="1"/>
  <c r="K3526" i="3"/>
  <c r="K3529" i="3" s="1"/>
  <c r="K3530" i="3" s="1"/>
  <c r="K3436" i="3"/>
  <c r="K3439" i="3" s="1"/>
  <c r="K3118" i="3"/>
  <c r="K3121" i="3" s="1"/>
  <c r="K4016" i="3"/>
  <c r="K15" i="7"/>
  <c r="L15" i="7" s="1"/>
  <c r="M15" i="7" s="1"/>
  <c r="K33" i="7"/>
  <c r="L33" i="7" s="1"/>
  <c r="M33" i="7" s="1"/>
  <c r="K36" i="7"/>
  <c r="L36" i="7" s="1"/>
  <c r="M36" i="7" s="1"/>
  <c r="K4071" i="3"/>
  <c r="K4072" i="3" s="1"/>
  <c r="K4075" i="3" s="1"/>
  <c r="K13" i="7"/>
  <c r="L13" i="7" s="1"/>
  <c r="M13" i="7" s="1"/>
  <c r="K5" i="7"/>
  <c r="L5" i="7" s="1"/>
  <c r="M5" i="7" s="1"/>
  <c r="K42" i="7"/>
  <c r="L42" i="7" s="1"/>
  <c r="M42" i="7" s="1"/>
  <c r="K14" i="7"/>
  <c r="L14" i="7" s="1"/>
  <c r="M14" i="7" s="1"/>
  <c r="K32" i="7"/>
  <c r="L32" i="7" s="1"/>
  <c r="M32" i="7" s="1"/>
  <c r="K4581" i="3" l="1"/>
  <c r="K4582" i="3" s="1"/>
  <c r="K4424" i="3"/>
  <c r="K4425" i="3" s="1"/>
  <c r="K4373" i="3"/>
  <c r="K4374" i="3" s="1"/>
  <c r="K4279" i="3"/>
  <c r="K4280" i="3" s="1"/>
  <c r="K4076" i="3"/>
  <c r="K4077" i="3" s="1"/>
  <c r="K3992" i="3"/>
  <c r="K3477" i="3"/>
  <c r="K3478" i="3" s="1"/>
  <c r="K3407" i="3"/>
  <c r="K3408" i="3" s="1"/>
  <c r="K2785" i="3"/>
  <c r="K2786" i="3" s="1"/>
  <c r="K2775" i="3"/>
  <c r="K2776" i="3" s="1"/>
  <c r="K2747" i="3"/>
  <c r="K2549" i="3"/>
  <c r="K2550" i="3" s="1"/>
  <c r="K1816" i="3"/>
  <c r="K1817" i="3" s="1"/>
  <c r="K770" i="3"/>
  <c r="K771" i="3" s="1"/>
  <c r="K739" i="3"/>
  <c r="K740" i="3" s="1"/>
  <c r="K660" i="3"/>
  <c r="K661" i="3" s="1"/>
  <c r="K662" i="3" s="1"/>
  <c r="K616" i="3"/>
  <c r="K617" i="3" s="1"/>
  <c r="K471" i="3"/>
  <c r="K343" i="3"/>
  <c r="K344" i="3" s="1"/>
  <c r="K1175" i="3"/>
  <c r="K810" i="3"/>
  <c r="K573" i="3"/>
  <c r="K903" i="3"/>
  <c r="K904" i="3" s="1"/>
  <c r="K669" i="3"/>
  <c r="K670" i="3" s="1"/>
  <c r="K717" i="3"/>
  <c r="E4134" i="3"/>
  <c r="K4134" i="3" s="1"/>
  <c r="K4135" i="3" s="1"/>
  <c r="E4507" i="3"/>
  <c r="E4529" i="3"/>
  <c r="K4529" i="3" s="1"/>
  <c r="E4511" i="3"/>
  <c r="K4163" i="3"/>
  <c r="K3916" i="3"/>
  <c r="K1366" i="3"/>
  <c r="K1320" i="3"/>
  <c r="K1137" i="3"/>
  <c r="K1303" i="3"/>
  <c r="K1212" i="3"/>
  <c r="K1317" i="3"/>
  <c r="K1343" i="3"/>
  <c r="K1274" i="3"/>
  <c r="K1283" i="3"/>
  <c r="K1286" i="3"/>
  <c r="K1134" i="3"/>
  <c r="K1171" i="3"/>
  <c r="K1121" i="3"/>
  <c r="K1371" i="3"/>
  <c r="K1230" i="3"/>
  <c r="K1367" i="3"/>
  <c r="K1270" i="3"/>
  <c r="K1231" i="3"/>
  <c r="K1179" i="3"/>
  <c r="K1345" i="3"/>
  <c r="K1442" i="3"/>
  <c r="K1139" i="3"/>
  <c r="K1379" i="3"/>
  <c r="K1223" i="3"/>
  <c r="K1346" i="3"/>
  <c r="K1326" i="3"/>
  <c r="K1495" i="3"/>
  <c r="K1499" i="3" s="1"/>
  <c r="K1308" i="3"/>
  <c r="K1136" i="3"/>
  <c r="K1135" i="3"/>
  <c r="K1305" i="3"/>
  <c r="K1358" i="3"/>
  <c r="K1284" i="3"/>
  <c r="K1344" i="3"/>
  <c r="K1380" i="3"/>
  <c r="K1418" i="3"/>
  <c r="K1335" i="3"/>
  <c r="K1342" i="3"/>
  <c r="K1304" i="3"/>
  <c r="K1285" i="3"/>
  <c r="K1401" i="3"/>
  <c r="K1272" i="3"/>
  <c r="K1287" i="3"/>
  <c r="K1318" i="3"/>
  <c r="K1398" i="3"/>
  <c r="K1341" i="3"/>
  <c r="K1288" i="3"/>
  <c r="K1271" i="3"/>
  <c r="K1407" i="3"/>
  <c r="K1306" i="3"/>
  <c r="K1476" i="3"/>
  <c r="K1478" i="3" s="1"/>
  <c r="K1321" i="3"/>
  <c r="K1440" i="3"/>
  <c r="K1441" i="3"/>
  <c r="K1485" i="3"/>
  <c r="K1372" i="3"/>
  <c r="K1337" i="3"/>
  <c r="K1374" i="3"/>
  <c r="K1421" i="3"/>
  <c r="K1431" i="3"/>
  <c r="K1336" i="3"/>
  <c r="K1456" i="3"/>
  <c r="K1459" i="3" s="1"/>
  <c r="K1357" i="3"/>
  <c r="K1415" i="3"/>
  <c r="K1481" i="3"/>
  <c r="K1132" i="3"/>
  <c r="K1369" i="3"/>
  <c r="K1439" i="3"/>
  <c r="K1420" i="3"/>
  <c r="K1396" i="3"/>
  <c r="K1479" i="3"/>
  <c r="K1232" i="3"/>
  <c r="K1311" i="3"/>
  <c r="K1399" i="3"/>
  <c r="K1222" i="3"/>
  <c r="K1417" i="3"/>
  <c r="K1397" i="3"/>
  <c r="K1298" i="3"/>
  <c r="K1400" i="3"/>
  <c r="K1168" i="3"/>
  <c r="K1116" i="3"/>
  <c r="K1437" i="3"/>
  <c r="K1299" i="3"/>
  <c r="K1167" i="3"/>
  <c r="K1138" i="3"/>
  <c r="K1402" i="3"/>
  <c r="K1373" i="3"/>
  <c r="K1416" i="3"/>
  <c r="K1209" i="3"/>
  <c r="K1204" i="3"/>
  <c r="K1395" i="3"/>
  <c r="K1432" i="3"/>
  <c r="K1319" i="3"/>
  <c r="K1307" i="3"/>
  <c r="K1422" i="3"/>
  <c r="K1273" i="3"/>
  <c r="K1368" i="3"/>
  <c r="K1434" i="3"/>
  <c r="K1300" i="3"/>
  <c r="K1297" i="3"/>
  <c r="K1123" i="3"/>
  <c r="K1201" i="3"/>
  <c r="K1119" i="3"/>
  <c r="K1202" i="3"/>
  <c r="K1205" i="3"/>
  <c r="K1200" i="3"/>
  <c r="K1120" i="3"/>
  <c r="K1176" i="3"/>
  <c r="K1208" i="3"/>
  <c r="K1234" i="3"/>
  <c r="K1165" i="3"/>
  <c r="K1206" i="3"/>
  <c r="K1178" i="3"/>
  <c r="K1173" i="3"/>
  <c r="K1228" i="3"/>
  <c r="K1172" i="3"/>
  <c r="K1221" i="3"/>
  <c r="K1224" i="3"/>
  <c r="K1211" i="3"/>
  <c r="K1229" i="3"/>
  <c r="K1227" i="3"/>
  <c r="K1166" i="3"/>
  <c r="K1029" i="3"/>
  <c r="K3959" i="3"/>
  <c r="K327" i="3"/>
  <c r="K1661" i="3"/>
  <c r="K4355" i="3"/>
  <c r="K4198" i="3"/>
  <c r="K1981" i="3"/>
  <c r="K2653" i="3"/>
  <c r="K3799" i="3"/>
  <c r="K3800" i="3" s="1"/>
  <c r="K3801" i="3" s="1"/>
  <c r="K2024" i="3"/>
  <c r="K3815" i="3"/>
  <c r="K4569" i="3"/>
  <c r="K3932" i="3"/>
  <c r="K3965" i="3"/>
  <c r="K3952" i="3"/>
  <c r="K3779" i="3"/>
  <c r="K3780" i="3" s="1"/>
  <c r="K3183" i="3"/>
  <c r="K3206" i="3"/>
  <c r="K3788" i="3"/>
  <c r="K3724" i="3"/>
  <c r="K3603" i="3"/>
  <c r="K4063" i="3"/>
  <c r="K3100" i="3"/>
  <c r="K2693" i="3"/>
  <c r="K2795" i="3"/>
  <c r="K4084" i="3"/>
  <c r="K4085" i="3" s="1"/>
  <c r="K2866" i="3"/>
  <c r="K3455" i="3"/>
  <c r="K3026" i="3"/>
  <c r="K3376" i="3"/>
  <c r="K3546" i="3"/>
  <c r="K3980" i="3"/>
  <c r="K1254" i="3"/>
  <c r="K4216" i="3"/>
  <c r="K1151" i="3"/>
  <c r="K1154" i="3"/>
  <c r="K3828" i="3"/>
  <c r="K3829" i="3" s="1"/>
  <c r="K915" i="3"/>
  <c r="K2296" i="3"/>
  <c r="K3122" i="3"/>
  <c r="K2828" i="3"/>
  <c r="K4500" i="3"/>
  <c r="K864" i="3"/>
  <c r="K3150" i="3"/>
  <c r="K1966" i="3"/>
  <c r="K3397" i="3"/>
  <c r="K3253" i="3"/>
  <c r="K4433" i="3"/>
  <c r="K4434" i="3" s="1"/>
  <c r="K2538" i="3"/>
  <c r="K4253" i="3"/>
  <c r="K3440" i="3"/>
  <c r="K2232" i="3"/>
  <c r="K2235" i="3" s="1"/>
  <c r="K2061" i="3"/>
  <c r="K2214" i="3"/>
  <c r="K2217" i="3" s="1"/>
  <c r="K2565" i="3"/>
  <c r="K2624" i="3"/>
  <c r="K3036" i="3"/>
  <c r="K1506" i="3"/>
  <c r="K1053" i="3"/>
  <c r="K978" i="3"/>
  <c r="K1142" i="3"/>
  <c r="K1100" i="3"/>
  <c r="K1003" i="3"/>
  <c r="K1092" i="3"/>
  <c r="K979" i="3"/>
  <c r="K4259" i="3"/>
  <c r="K2148" i="3"/>
  <c r="K3845" i="3"/>
  <c r="K3846" i="3" s="1"/>
  <c r="K2760" i="3"/>
  <c r="K488" i="3"/>
  <c r="K2721" i="3"/>
  <c r="K1155" i="3"/>
  <c r="K3047" i="3"/>
  <c r="K2048" i="3"/>
  <c r="K500" i="3"/>
  <c r="K3110" i="3"/>
  <c r="K1257" i="3"/>
  <c r="K4271" i="3"/>
  <c r="K3902" i="3"/>
  <c r="K3903" i="3" s="1"/>
  <c r="K2640" i="3"/>
  <c r="K4152" i="3"/>
  <c r="K4153" i="3" s="1"/>
  <c r="K2923" i="3"/>
  <c r="K3326" i="3"/>
  <c r="K2986" i="3"/>
  <c r="K1639" i="3"/>
  <c r="K1642" i="3" s="1"/>
  <c r="K1643" i="3" s="1"/>
  <c r="K1644" i="3" s="1"/>
  <c r="K1645" i="3" s="1"/>
  <c r="K1594" i="3"/>
  <c r="K1597" i="3" s="1"/>
  <c r="K1598" i="3" s="1"/>
  <c r="K996" i="3"/>
  <c r="K972" i="3"/>
  <c r="K1143" i="3"/>
  <c r="K1064" i="3"/>
  <c r="K1091" i="3"/>
  <c r="K990" i="3"/>
  <c r="K1002" i="3"/>
  <c r="K1016" i="3"/>
  <c r="K1084" i="3"/>
  <c r="K2898" i="3"/>
  <c r="K2088" i="3"/>
  <c r="K1037" i="3"/>
  <c r="K3555" i="3"/>
  <c r="K3558" i="3" s="1"/>
  <c r="K3559" i="3" s="1"/>
  <c r="K2192" i="3"/>
  <c r="K2195" i="3" s="1"/>
  <c r="K2196" i="3" s="1"/>
  <c r="K2163" i="3"/>
  <c r="K2166" i="3" s="1"/>
  <c r="K2167" i="3" s="1"/>
  <c r="K1507" i="3"/>
  <c r="K1830" i="3"/>
  <c r="K1261" i="3"/>
  <c r="K1101" i="3"/>
  <c r="K1193" i="3"/>
  <c r="K1194" i="3" s="1"/>
  <c r="K1195" i="3" s="1"/>
  <c r="K1158" i="3"/>
  <c r="K1940" i="3"/>
  <c r="K989" i="3"/>
  <c r="K1065" i="3"/>
  <c r="K1099" i="3"/>
  <c r="K2492" i="3"/>
  <c r="K2495" i="3" s="1"/>
  <c r="K4189" i="3"/>
  <c r="K4190" i="3" s="1"/>
  <c r="K1062" i="3"/>
  <c r="J1661" i="3"/>
  <c r="K1664" i="3" s="1"/>
  <c r="K1078" i="3"/>
  <c r="K1245" i="3"/>
  <c r="K1049" i="3"/>
  <c r="K975" i="3"/>
  <c r="K998" i="3"/>
  <c r="K1246" i="3"/>
  <c r="K1035" i="3"/>
  <c r="K1253" i="3"/>
  <c r="K1519" i="3"/>
  <c r="K1522" i="3" s="1"/>
  <c r="K1011" i="3"/>
  <c r="K974" i="3"/>
  <c r="K2267" i="3"/>
  <c r="K2270" i="3" s="1"/>
  <c r="K1044" i="3"/>
  <c r="K986" i="3"/>
  <c r="K1059" i="3"/>
  <c r="K1046" i="3"/>
  <c r="K1251" i="3"/>
  <c r="K1061" i="3"/>
  <c r="K2112" i="3"/>
  <c r="K645" i="3"/>
  <c r="K2127" i="3"/>
  <c r="K2604" i="3"/>
  <c r="K1080" i="3"/>
  <c r="K2037" i="3"/>
  <c r="K2038" i="3" s="1"/>
  <c r="K1110" i="3"/>
  <c r="K1111" i="3" s="1"/>
  <c r="K1076" i="3"/>
  <c r="K1009" i="3"/>
  <c r="K1098" i="3"/>
  <c r="K1060" i="3"/>
  <c r="K1260" i="3"/>
  <c r="K1013" i="3"/>
  <c r="K1072" i="3"/>
  <c r="K1152" i="3"/>
  <c r="K1012" i="3"/>
  <c r="K999" i="3"/>
  <c r="K1048" i="3"/>
  <c r="K1256" i="3"/>
  <c r="K1001" i="3"/>
  <c r="K4114" i="3"/>
  <c r="K4117" i="3" s="1"/>
  <c r="K1153" i="3"/>
  <c r="K1073" i="3"/>
  <c r="K1247" i="3"/>
  <c r="K1079" i="3"/>
  <c r="K1051" i="3"/>
  <c r="K1063" i="3"/>
  <c r="K1258" i="3"/>
  <c r="K3673" i="3"/>
  <c r="K3672" i="3"/>
  <c r="K988" i="3"/>
  <c r="K1504" i="3"/>
  <c r="K1081" i="3"/>
  <c r="K1047" i="3"/>
  <c r="K1156" i="3"/>
  <c r="K1074" i="3"/>
  <c r="K1034" i="3"/>
  <c r="K4017" i="3"/>
  <c r="K4019" i="3" s="1"/>
  <c r="K4022" i="3" s="1"/>
  <c r="K1077" i="3"/>
  <c r="K976" i="3"/>
  <c r="K1248" i="3"/>
  <c r="K1255" i="3"/>
  <c r="K1050" i="3"/>
  <c r="K1141" i="3"/>
  <c r="K1150" i="3"/>
  <c r="K4570" i="3" l="1"/>
  <c r="K4501" i="3"/>
  <c r="K4164" i="3"/>
  <c r="K4064" i="3"/>
  <c r="K3993" i="3"/>
  <c r="K3994" i="3" s="1"/>
  <c r="K3933" i="3"/>
  <c r="K3934" i="3" s="1"/>
  <c r="K3917" i="3"/>
  <c r="K3802" i="3"/>
  <c r="K3789" i="3"/>
  <c r="K2829" i="3"/>
  <c r="K2830" i="3" s="1"/>
  <c r="K2796" i="3"/>
  <c r="K2748" i="3"/>
  <c r="K2749" i="3" s="1"/>
  <c r="K2722" i="3"/>
  <c r="K2723" i="3" s="1"/>
  <c r="K2694" i="3"/>
  <c r="K2695" i="3" s="1"/>
  <c r="K2641" i="3"/>
  <c r="K2642" i="3" s="1"/>
  <c r="K2566" i="3"/>
  <c r="K2567" i="3" s="1"/>
  <c r="K2539" i="3"/>
  <c r="K2540" i="3" s="1"/>
  <c r="K2496" i="3"/>
  <c r="K2271" i="3"/>
  <c r="K2272" i="3" s="1"/>
  <c r="K2236" i="3"/>
  <c r="K2237" i="3" s="1"/>
  <c r="K2218" i="3"/>
  <c r="K2219" i="3" s="1"/>
  <c r="K2197" i="3"/>
  <c r="K2128" i="3"/>
  <c r="K2113" i="3"/>
  <c r="K2089" i="3"/>
  <c r="K2090" i="3" s="1"/>
  <c r="K1982" i="3"/>
  <c r="K1983" i="3" s="1"/>
  <c r="K1665" i="3"/>
  <c r="K1599" i="3"/>
  <c r="K1523" i="3"/>
  <c r="K646" i="3"/>
  <c r="K647" i="3" s="1"/>
  <c r="K501" i="3"/>
  <c r="K502" i="3" s="1"/>
  <c r="K489" i="3"/>
  <c r="K490" i="3" s="1"/>
  <c r="K472" i="3"/>
  <c r="K473" i="3" s="1"/>
  <c r="K328" i="3"/>
  <c r="K329" i="3" s="1"/>
  <c r="K1646" i="3"/>
  <c r="K3981" i="3"/>
  <c r="E1773" i="3"/>
  <c r="E3074" i="3"/>
  <c r="K3074" i="3" s="1"/>
  <c r="K4260" i="3"/>
  <c r="K4264" i="3" s="1"/>
  <c r="K4118" i="3"/>
  <c r="K4023" i="3"/>
  <c r="K2310" i="3"/>
  <c r="E3126" i="3"/>
  <c r="K3126" i="3" s="1"/>
  <c r="K1291" i="3"/>
  <c r="K1292" i="3" s="1"/>
  <c r="K1351" i="3"/>
  <c r="K1352" i="3" s="1"/>
  <c r="K1329" i="3"/>
  <c r="K1330" i="3" s="1"/>
  <c r="K1126" i="3"/>
  <c r="K1127" i="3" s="1"/>
  <c r="K1381" i="3"/>
  <c r="K1382" i="3" s="1"/>
  <c r="K1277" i="3"/>
  <c r="K1278" i="3" s="1"/>
  <c r="K1360" i="3"/>
  <c r="K1361" i="3" s="1"/>
  <c r="K1425" i="3"/>
  <c r="K1426" i="3" s="1"/>
  <c r="K1488" i="3"/>
  <c r="K1489" i="3" s="1"/>
  <c r="K1490" i="3" s="1"/>
  <c r="K1408" i="3"/>
  <c r="K1409" i="3" s="1"/>
  <c r="K1447" i="3"/>
  <c r="K1448" i="3" s="1"/>
  <c r="K1182" i="3"/>
  <c r="K1183" i="3" s="1"/>
  <c r="K1312" i="3"/>
  <c r="K1313" i="3" s="1"/>
  <c r="K1239" i="3"/>
  <c r="K1240" i="3" s="1"/>
  <c r="K1263" i="3"/>
  <c r="K1264" i="3" s="1"/>
  <c r="K1265" i="3" s="1"/>
  <c r="K1085" i="3"/>
  <c r="K1086" i="3" s="1"/>
  <c r="E1717" i="3"/>
  <c r="K4507" i="3"/>
  <c r="K4511" i="3"/>
  <c r="E4220" i="3"/>
  <c r="K4220" i="3" s="1"/>
  <c r="K3967" i="3"/>
  <c r="K1471" i="3"/>
  <c r="K3725" i="3"/>
  <c r="K3728" i="3" s="1"/>
  <c r="K671" i="3"/>
  <c r="K1093" i="3"/>
  <c r="K1094" i="3" s="1"/>
  <c r="K1508" i="3"/>
  <c r="K1509" i="3" s="1"/>
  <c r="K991" i="3"/>
  <c r="K992" i="3" s="1"/>
  <c r="K1102" i="3"/>
  <c r="K1103" i="3" s="1"/>
  <c r="K1500" i="3"/>
  <c r="K1030" i="3"/>
  <c r="K1460" i="3"/>
  <c r="K980" i="3"/>
  <c r="K981" i="3" s="1"/>
  <c r="K982" i="3" s="1"/>
  <c r="K1017" i="3"/>
  <c r="K1018" i="3" s="1"/>
  <c r="K1038" i="3"/>
  <c r="K1039" i="3" s="1"/>
  <c r="K1066" i="3"/>
  <c r="K1067" i="3" s="1"/>
  <c r="K1004" i="3"/>
  <c r="K1005" i="3" s="1"/>
  <c r="K1054" i="3"/>
  <c r="K1055" i="3" s="1"/>
  <c r="K1159" i="3"/>
  <c r="K1160" i="3" s="1"/>
  <c r="K1215" i="3"/>
  <c r="K1216" i="3" s="1"/>
  <c r="K1144" i="3"/>
  <c r="K1145" i="3" s="1"/>
  <c r="K4571" i="3" l="1"/>
  <c r="K4572" i="3" s="1"/>
  <c r="K4502" i="3"/>
  <c r="K4503" i="3" s="1"/>
  <c r="K4165" i="3"/>
  <c r="K4166" i="3" s="1"/>
  <c r="K4119" i="3"/>
  <c r="K4065" i="3"/>
  <c r="K4066" i="3" s="1"/>
  <c r="K4024" i="3"/>
  <c r="K3982" i="3"/>
  <c r="K3983" i="3" s="1"/>
  <c r="K3918" i="3"/>
  <c r="K3919" i="3" s="1"/>
  <c r="K3790" i="3"/>
  <c r="K3791" i="3" s="1"/>
  <c r="K3729" i="3"/>
  <c r="K3730" i="3" s="1"/>
  <c r="K2797" i="3"/>
  <c r="K2798" i="3" s="1"/>
  <c r="K2497" i="3"/>
  <c r="K2498" i="3" s="1"/>
  <c r="K2198" i="3"/>
  <c r="K2199" i="3" s="1"/>
  <c r="K2129" i="3"/>
  <c r="K2130" i="3" s="1"/>
  <c r="K2114" i="3"/>
  <c r="K2115" i="3" s="1"/>
  <c r="E2333" i="3"/>
  <c r="E2323" i="3"/>
  <c r="K1666" i="3"/>
  <c r="K1667" i="3" s="1"/>
  <c r="K1600" i="3"/>
  <c r="K1601" i="3" s="1"/>
  <c r="K1524" i="3"/>
  <c r="K1525" i="3" s="1"/>
  <c r="K1773" i="3"/>
  <c r="K1717" i="3"/>
  <c r="K1718" i="3" s="1"/>
  <c r="K676" i="3"/>
  <c r="K678" i="3"/>
  <c r="K677" i="3"/>
  <c r="K4120" i="3" l="1"/>
  <c r="K4121" i="3" s="1"/>
  <c r="K4025" i="3"/>
  <c r="K4026" i="3" s="1"/>
  <c r="K2323" i="3"/>
  <c r="K2324" i="3" s="1"/>
  <c r="K2325" i="3" s="1"/>
  <c r="K2333" i="3"/>
  <c r="K2334" i="3" s="1"/>
  <c r="K680" i="3"/>
  <c r="K683" i="3" s="1"/>
  <c r="E2338" i="3" l="1"/>
  <c r="K2338" i="3" s="1"/>
  <c r="K684" i="3"/>
  <c r="K685" i="3" l="1"/>
  <c r="K68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Calese</author>
  </authors>
  <commentList>
    <comment ref="G2" authorId="0" shapeId="0" xr:uid="{6BD5E10D-7CD9-4CB7-AFDF-EA93E81CB93A}">
      <text>
        <r>
          <rPr>
            <b/>
            <sz val="9"/>
            <color indexed="81"/>
            <rFont val="Tahoma"/>
            <family val="2"/>
          </rPr>
          <t>In accordance with FAR 28.102, all government construction projects over $150,000 are subject
to the Miller Act which requires performance and payment bonds.</t>
        </r>
      </text>
    </comment>
    <comment ref="P3" authorId="0" shapeId="0" xr:uid="{DB4741B8-9C8E-4293-9DC2-A675CD9340E8}">
      <text>
        <r>
          <rPr>
            <b/>
            <sz val="9"/>
            <color indexed="81"/>
            <rFont val="Tahoma"/>
            <family val="2"/>
          </rPr>
          <t>Generally effects MILCON (&gt;$750k) projects)</t>
        </r>
      </text>
    </comment>
  </commentList>
</comments>
</file>

<file path=xl/sharedStrings.xml><?xml version="1.0" encoding="utf-8"?>
<sst xmlns="http://schemas.openxmlformats.org/spreadsheetml/2006/main" count="17570" uniqueCount="3037">
  <si>
    <t>Notes:  PRV Unit Costs (PUC) are not size adjusted.  If available, reference size from source pricing guide is republished for end-user calculation.</t>
  </si>
  <si>
    <t xml:space="preserve">FAC </t>
  </si>
  <si>
    <t>Design Size</t>
  </si>
  <si>
    <t xml:space="preserve">UM = </t>
  </si>
  <si>
    <t>SY</t>
  </si>
  <si>
    <t>Source</t>
  </si>
  <si>
    <t>Assembly</t>
  </si>
  <si>
    <t>Description</t>
  </si>
  <si>
    <t>Quantity</t>
  </si>
  <si>
    <t>UM</t>
  </si>
  <si>
    <t>Material</t>
  </si>
  <si>
    <t>Labor</t>
  </si>
  <si>
    <t>Equipment</t>
  </si>
  <si>
    <t>Total with O&amp;P</t>
  </si>
  <si>
    <t>G1030050510</t>
  </si>
  <si>
    <t>Dry Roll Gravel, Steel Roller</t>
  </si>
  <si>
    <t>CY</t>
  </si>
  <si>
    <t>G2010010102</t>
  </si>
  <si>
    <t>Gravel, Delivered &amp; Dumped</t>
  </si>
  <si>
    <t>G2010030310</t>
  </si>
  <si>
    <t>Prime Coat</t>
  </si>
  <si>
    <t>G2060020501</t>
  </si>
  <si>
    <t>Plastic Grooving (Transverse)</t>
  </si>
  <si>
    <t>G2060020801</t>
  </si>
  <si>
    <t>Field Mix Concrete</t>
  </si>
  <si>
    <t>G2060020803</t>
  </si>
  <si>
    <t>Haul Concrete To Paver</t>
  </si>
  <si>
    <t>G2060030701</t>
  </si>
  <si>
    <t>LF</t>
  </si>
  <si>
    <t>G2060030702</t>
  </si>
  <si>
    <t>G2060030703</t>
  </si>
  <si>
    <t>Total</t>
  </si>
  <si>
    <t>G2060010101</t>
  </si>
  <si>
    <t>RPAD % of Inventory</t>
  </si>
  <si>
    <t>Light</t>
  </si>
  <si>
    <t>Medium</t>
  </si>
  <si>
    <t>Heavy</t>
  </si>
  <si>
    <t>PUC</t>
  </si>
  <si>
    <t>RPAD Average Size</t>
  </si>
  <si>
    <t> </t>
  </si>
  <si>
    <t>EA</t>
  </si>
  <si>
    <t>TON</t>
  </si>
  <si>
    <t>Concrete</t>
  </si>
  <si>
    <t>Asphalt</t>
  </si>
  <si>
    <t>Runway Overrun Area, Surfaced</t>
  </si>
  <si>
    <t>Expansion Joint, 254.00mm (10")</t>
  </si>
  <si>
    <t>Runway, Unsurfaced</t>
  </si>
  <si>
    <t>Total System Cost</t>
  </si>
  <si>
    <t>Unmanned Aerial Vehicle (UAV) Runway and Launch/Recovery Site</t>
  </si>
  <si>
    <t>Taxiway, Surfaced</t>
  </si>
  <si>
    <t>Construction Joint, 254.00mm (10")</t>
  </si>
  <si>
    <t>Rotary-Wing Taxiway</t>
  </si>
  <si>
    <t>Unit Cost</t>
  </si>
  <si>
    <t>Units</t>
  </si>
  <si>
    <t>Conversion</t>
  </si>
  <si>
    <t>Area Adjustment</t>
  </si>
  <si>
    <t>Inflation Adjustment</t>
  </si>
  <si>
    <t xml:space="preserve">Taxiway, Surfaced	</t>
  </si>
  <si>
    <t>Aircraft Apron, Surfaced</t>
  </si>
  <si>
    <t>Compass Calibration Pad, Surfaced</t>
  </si>
  <si>
    <t>Missile Launching Pad, Surfaced</t>
  </si>
  <si>
    <t>Aircraft Washing Pad, Surfaced</t>
  </si>
  <si>
    <t xml:space="preserve">Miscellaneous Airfield Pavement, Surfaced </t>
  </si>
  <si>
    <t>Aircraft Pavement Shoulder</t>
  </si>
  <si>
    <t>Miscellaneous Airfield Pavement, Unsurfaced</t>
  </si>
  <si>
    <t>Aircraft Rinse Facility</t>
  </si>
  <si>
    <t>D2010050501</t>
  </si>
  <si>
    <t>D2020030132</t>
  </si>
  <si>
    <t>Pump, 18.65 kW(25 HP), Turbine, 1514.2 - 2271.2  L/min(400-600 GPM), 152.4 mm(6") Dischg, 45.72 m(150</t>
  </si>
  <si>
    <t>D2090030308</t>
  </si>
  <si>
    <t>Oil/Water Separator</t>
  </si>
  <si>
    <t>D3060010178</t>
  </si>
  <si>
    <t>Chilled Water System &amp; Pump Controls</t>
  </si>
  <si>
    <t>D4020010107</t>
  </si>
  <si>
    <t>Diesel Driven Fire Pump - 9463.53 L/min (2500 GPM), Fire  Prot Water Sup</t>
  </si>
  <si>
    <t>Jointed Concrete, Place &amp; Finish, 101.60mm - 304.80mm  (4" - 12")</t>
  </si>
  <si>
    <t>Contraction Joint, 254.00mm (10")</t>
  </si>
  <si>
    <t>Aircraft Direct Fueling Facility</t>
  </si>
  <si>
    <t>OL</t>
  </si>
  <si>
    <t>Study Average  Size</t>
  </si>
  <si>
    <t>D3060011111</t>
  </si>
  <si>
    <t>Controls, Gas Flow Meter</t>
  </si>
  <si>
    <t>G3060024018</t>
  </si>
  <si>
    <t>6" Stainless Steel Pipe, SCH 40, 304L, SW</t>
  </si>
  <si>
    <t>G3060024216</t>
  </si>
  <si>
    <t>Pipe Cathodic Protection</t>
  </si>
  <si>
    <t>G3060024301</t>
  </si>
  <si>
    <t>Isolation Valve</t>
  </si>
  <si>
    <t>G3060024401</t>
  </si>
  <si>
    <t>Below Ground Pipe Seismic Reinforcing</t>
  </si>
  <si>
    <t>G3060045001</t>
  </si>
  <si>
    <t>Demo Concrete Paving</t>
  </si>
  <si>
    <t>G3060045101</t>
  </si>
  <si>
    <t>Replace Concrete Paving</t>
  </si>
  <si>
    <t>G3060046101</t>
  </si>
  <si>
    <t>Fuel Hydrant, 4" Valve</t>
  </si>
  <si>
    <t>G3060054117</t>
  </si>
  <si>
    <t>Earthwork/Concrete, 6" Pipe</t>
  </si>
  <si>
    <t>G3094070519</t>
  </si>
  <si>
    <t>Utility vaults, meter pit, precast concrete, 6-FT x 6-FT, 15-FT deep, excludes excavation and backfill</t>
  </si>
  <si>
    <t>Marine Fueling Facility</t>
  </si>
  <si>
    <t>PACES 1.4; 
DLA/DESC Fuels Facilities Study, March 2009</t>
  </si>
  <si>
    <t>G3060047202</t>
  </si>
  <si>
    <t>Dispenser/Piping, JP8, Wheeled Vhcle</t>
  </si>
  <si>
    <t>G3060047401</t>
  </si>
  <si>
    <t>Vehicle Fueling Facility</t>
  </si>
  <si>
    <t>G3060047001</t>
  </si>
  <si>
    <t>Fnd, Wheeled Vhcle, 152M (6") Conc</t>
  </si>
  <si>
    <t>SF</t>
  </si>
  <si>
    <t>G3060047302</t>
  </si>
  <si>
    <t>Electrical, JP8, Wheeled Vhcle</t>
  </si>
  <si>
    <t>Compressor W/Pre Eng Bldg, Whled Vhcle</t>
  </si>
  <si>
    <t>Aircraft Operating Fuel Storage</t>
  </si>
  <si>
    <t>GA</t>
  </si>
  <si>
    <t>G3060032001</t>
  </si>
  <si>
    <t>Earthwork, Vertical Abv Grd Tank</t>
  </si>
  <si>
    <t>G3060032101</t>
  </si>
  <si>
    <t>Concrete, Vertical Abv Grd Tank</t>
  </si>
  <si>
    <t>G3060032201</t>
  </si>
  <si>
    <t>Pipes And Fittings, Vertical Abv Grd Tank</t>
  </si>
  <si>
    <t>G3060032301</t>
  </si>
  <si>
    <t>Electrical, Vertical Abv Grd Tank</t>
  </si>
  <si>
    <t>G3060032401</t>
  </si>
  <si>
    <t>Controls, Vertical Abv Grd Tank</t>
  </si>
  <si>
    <t>G3060032503</t>
  </si>
  <si>
    <t>Tank, 1192400 L (10000 bbl), Vertical Abv Grd Tank</t>
  </si>
  <si>
    <t>G3060032701</t>
  </si>
  <si>
    <t>Concrete Covered Berm</t>
  </si>
  <si>
    <t>G3060032703</t>
  </si>
  <si>
    <t>Concrete Covered Basin</t>
  </si>
  <si>
    <t>G3060032902</t>
  </si>
  <si>
    <t>Tank Reinforcing</t>
  </si>
  <si>
    <t>Marine Operating Fuel Storage</t>
  </si>
  <si>
    <t>Vehicle Operating Fuel Storage</t>
  </si>
  <si>
    <t>Other Operating Fuel Storage</t>
  </si>
  <si>
    <t>POL Pipeline</t>
  </si>
  <si>
    <t>G3060024011</t>
  </si>
  <si>
    <t>16" Carbon Steel Pipe, SCH 40 C&amp;B427W</t>
  </si>
  <si>
    <t>G3060024402</t>
  </si>
  <si>
    <t>Above Ground Pipe Seismic Reinforcing</t>
  </si>
  <si>
    <t>G3060054116</t>
  </si>
  <si>
    <t>Above Grnd Pipe Support, Stl And Reinforced Concrete</t>
  </si>
  <si>
    <t>G3060054123</t>
  </si>
  <si>
    <t>High Point Drain</t>
  </si>
  <si>
    <t>G3060054124</t>
  </si>
  <si>
    <t>Low Point Drain</t>
  </si>
  <si>
    <t>POL Piping</t>
  </si>
  <si>
    <t>Liquid Fuel Loading/Offloading Facility</t>
  </si>
  <si>
    <t>G3060011002</t>
  </si>
  <si>
    <t>Parking Pad</t>
  </si>
  <si>
    <t>G3060011101</t>
  </si>
  <si>
    <t>Direct Off Load Station</t>
  </si>
  <si>
    <t>G3060011201</t>
  </si>
  <si>
    <t>Direct Off Load Pump</t>
  </si>
  <si>
    <t>G3060051401</t>
  </si>
  <si>
    <t>High Point Vent Pit Assembly</t>
  </si>
  <si>
    <t>G3060051402</t>
  </si>
  <si>
    <t>Low Point Pit Assembly</t>
  </si>
  <si>
    <t>G3060901501</t>
  </si>
  <si>
    <t>Electrical/Controls, Truck Offload Station</t>
  </si>
  <si>
    <t>G4090901601</t>
  </si>
  <si>
    <t>CATHODIC PROTECTION, TRUCK OFFLOADING  STATION</t>
  </si>
  <si>
    <t>POL Pump Station</t>
  </si>
  <si>
    <t>GM</t>
  </si>
  <si>
    <t>D5090020207</t>
  </si>
  <si>
    <t>125 KW Diesel Generator</t>
  </si>
  <si>
    <t>G3060903701</t>
  </si>
  <si>
    <t>Pump System, 600 GPM</t>
  </si>
  <si>
    <t>G3060903706</t>
  </si>
  <si>
    <t>Product Recovery System, 1800-2400 GPM</t>
  </si>
  <si>
    <t>G3060903710</t>
  </si>
  <si>
    <t>Fuel Filter/Separator</t>
  </si>
  <si>
    <t>G3060903713</t>
  </si>
  <si>
    <t>Stainless Steel Horizontal Filter Separators</t>
  </si>
  <si>
    <t>G3060903720</t>
  </si>
  <si>
    <t>HHT Check Out</t>
  </si>
  <si>
    <t>Communications Building</t>
  </si>
  <si>
    <t>CATCODE</t>
  </si>
  <si>
    <t>Reference Size</t>
  </si>
  <si>
    <t>Inflation Adjustment by MILCON Index</t>
  </si>
  <si>
    <t>Adjusted Cost</t>
  </si>
  <si>
    <t>GUC</t>
  </si>
  <si>
    <t>Communications Facility</t>
  </si>
  <si>
    <t>Satellite Communications Building</t>
  </si>
  <si>
    <t>USACE PAX Newsletter 3.2.2, 16 May 2016</t>
  </si>
  <si>
    <t>Inflation Adjustment  by MILCON Index</t>
  </si>
  <si>
    <t>Marshall and Swift Valuation, October 2021</t>
  </si>
  <si>
    <t>Section</t>
  </si>
  <si>
    <t>Current Cost Multiplier</t>
  </si>
  <si>
    <t>67/6</t>
  </si>
  <si>
    <t>Self Supporting Tower, 75 ft</t>
  </si>
  <si>
    <t>Triangular Guyed Tower, 24" Radio. VHF, UHF 66' high</t>
  </si>
  <si>
    <t>Average</t>
  </si>
  <si>
    <t>54/1</t>
  </si>
  <si>
    <t>Service Entrance, Single Phase, 120/240 V  60 Amp</t>
  </si>
  <si>
    <t>Normalizing for Location</t>
  </si>
  <si>
    <t>Marshall and Swift Local Multiplier for Arlington, VA</t>
  </si>
  <si>
    <t>Divided by 2022 DoD ACF for Arlington, VA</t>
  </si>
  <si>
    <t>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three-year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</si>
  <si>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OSD Design Criteria</t>
  </si>
  <si>
    <t>Building construction material</t>
  </si>
  <si>
    <t>Facility size</t>
  </si>
  <si>
    <t>Fire suppression system type, quality, and coverage</t>
  </si>
  <si>
    <t>Inclusion of a loading dock or similar ancillary feature</t>
  </si>
  <si>
    <t>No UFC requirement exists for the incorporation of a loading dock.</t>
  </si>
  <si>
    <t>Inclusion and capacity of overhead cranes</t>
  </si>
  <si>
    <t xml:space="preserve">No UFC requirement exists for the incorporation of overhead cranes.  </t>
  </si>
  <si>
    <t xml:space="preserve">Established standard for components or materials </t>
  </si>
  <si>
    <t>Applicable Business Rules</t>
  </si>
  <si>
    <t>Aircraft Navigation Building</t>
  </si>
  <si>
    <t>Aircraft Navigation Facility</t>
  </si>
  <si>
    <t>TASK</t>
  </si>
  <si>
    <t>14/22</t>
  </si>
  <si>
    <t xml:space="preserve">Armory, Class C, Average (similar in construction to utility building) </t>
  </si>
  <si>
    <t>SF to EA</t>
  </si>
  <si>
    <t>Multiple Category Codes; Assume 10 FT x 10 FT</t>
  </si>
  <si>
    <t>FAC</t>
  </si>
  <si>
    <t>Communications Lines</t>
  </si>
  <si>
    <t>MI</t>
  </si>
  <si>
    <t>FT to MI</t>
  </si>
  <si>
    <t>EA per MI</t>
  </si>
  <si>
    <t>66/1</t>
  </si>
  <si>
    <t>FT</t>
  </si>
  <si>
    <t>Sum</t>
  </si>
  <si>
    <t>Footnotes</t>
  </si>
  <si>
    <t>Airfield Pavement Lighting</t>
  </si>
  <si>
    <t>Airfield Lighting</t>
  </si>
  <si>
    <t>Ship Navigation Building</t>
  </si>
  <si>
    <t>Ship Navigation Facility</t>
  </si>
  <si>
    <t>Self-Supporting Tower, 50 FT</t>
  </si>
  <si>
    <t>Air Defense Operations Building</t>
  </si>
  <si>
    <t>Missile Operations Building</t>
  </si>
  <si>
    <t>USACE PAX Newsletter 3.2.2, 25 May 2022</t>
  </si>
  <si>
    <t>Emergency Operations Center (EOC)</t>
  </si>
  <si>
    <t>Airfield Fire And Rescue Station</t>
  </si>
  <si>
    <t>Aviation Operations Building</t>
  </si>
  <si>
    <t>Air Control Tower</t>
  </si>
  <si>
    <t>VF/SF</t>
  </si>
  <si>
    <t>Helium Production/Storage Building</t>
  </si>
  <si>
    <t>General Purpose (GP) Warehouse - Small (&lt; 15,000 SF), Low-Bay (Stack Height &lt; 16-FT )</t>
  </si>
  <si>
    <t>Weighted Average</t>
  </si>
  <si>
    <t>Helium Storage Facility</t>
  </si>
  <si>
    <t>61/8</t>
  </si>
  <si>
    <t>Welded Steel Pressure Tank, 9,000 GA</t>
  </si>
  <si>
    <t>Welded Steel Pressure Tank, 15,000 GA</t>
  </si>
  <si>
    <t>Ship Operations Building</t>
  </si>
  <si>
    <t>Photo/TV Production Building</t>
  </si>
  <si>
    <t>14/19</t>
  </si>
  <si>
    <t>Broadcast Facility, Class B, Average</t>
  </si>
  <si>
    <t>14/37</t>
  </si>
  <si>
    <t>Sprinkler, 5000 SF, Wet System, Average</t>
  </si>
  <si>
    <t>SUM</t>
  </si>
  <si>
    <t>Marshall and Swift (Class B) Local Multiplier for Arlington, VA</t>
  </si>
  <si>
    <t>Operations Support Lab</t>
  </si>
  <si>
    <t>14/17</t>
  </si>
  <si>
    <t>Laboratory Building, Class B, Average</t>
  </si>
  <si>
    <t>Sprinkler, 10,000 SF, Dry System, Average</t>
  </si>
  <si>
    <t>PUC with Military Cost Premium</t>
  </si>
  <si>
    <t xml:space="preserve">Unified Facilities Criteria (UFC) for Multi-Disciplinary and Facility Specific Design (4 Series) is not provided for this type of facility.  The only UFC in the 4-300 Series for laboratories is 4-390-01, “O&amp;M: Unmanned Pressure Test Facilities Safety Certification Manual,” which does not apply to this FAC.
</t>
  </si>
  <si>
    <t xml:space="preserve">No UFC criteria exist for component material.  
Applying the Marshall &amp; Swift Business Rule, the FAC is Marshall &amp; Swift Class B, Average Quality.  Commercial building construction material is implied by using Marshall and Swift's “Laboratory Building."  
</t>
  </si>
  <si>
    <t xml:space="preserve">The average area of this FAC is 8,236 SF.
The International Building Code Occupancy Group assigned is B, Business.
</t>
  </si>
  <si>
    <t xml:space="preserve">International Building Code (IBC) Group B.
A sprinkler is incorporated, applying the Fire Sprinkler Business Rule
</t>
  </si>
  <si>
    <t xml:space="preserve">No UFC requirement exists for the incorporation of a loading dock
The average number of floors above ground is 1.21; applying the Elevator Business Rule, no elevator is incorporated. 
</t>
  </si>
  <si>
    <t xml:space="preserve">No overhead cranes applying the Overhead Crane Business Rule.  </t>
  </si>
  <si>
    <t>No UFC criteria exist for component material, other than those consistent with fire safety noted above in building construction material.</t>
  </si>
  <si>
    <t xml:space="preserve">• M&amp;S Selection Business Rule
• Elevator Business Rule
• Fire Sprinkler Business Rule
• Overhead Crane Business Rule
• MILCON Cost Premium Business Rule
</t>
  </si>
  <si>
    <t>Operations Supply Building</t>
  </si>
  <si>
    <t>14/23</t>
  </si>
  <si>
    <t>55/5</t>
  </si>
  <si>
    <t>SF of door</t>
  </si>
  <si>
    <t>Overhead door electric operation</t>
  </si>
  <si>
    <t>65/12</t>
  </si>
  <si>
    <t>Dock leveler, hydraulic</t>
  </si>
  <si>
    <t>Dock shelter</t>
  </si>
  <si>
    <t>14/27</t>
  </si>
  <si>
    <t>SF Total</t>
  </si>
  <si>
    <t>Divided by 2021 DoD ACF for Arlington, VA</t>
  </si>
  <si>
    <t>Inflated from FY21 to FY22</t>
  </si>
  <si>
    <t xml:space="preserve">UFC 4-440-01 states that overhead bridge cranes may not be required.  Because bridge cranes are not required, no overhead crane is included, applying the Overhead Crane Business Rule.  </t>
  </si>
  <si>
    <t>Miscellaneous Operations Support Building</t>
  </si>
  <si>
    <t>Working Animal Support Building</t>
  </si>
  <si>
    <t>USACE PAX Newsletter 3.2.2, 30 May 2019</t>
  </si>
  <si>
    <t>Security Force Building</t>
  </si>
  <si>
    <t>15/33</t>
  </si>
  <si>
    <t>15/36</t>
  </si>
  <si>
    <t>15/37</t>
  </si>
  <si>
    <t>Sprinkler, 15,000 SF, Wet System, Average</t>
  </si>
  <si>
    <t>No UFC criteria exist for component material.</t>
  </si>
  <si>
    <t>Strategic Missile Launch Facility</t>
  </si>
  <si>
    <t>UM=</t>
  </si>
  <si>
    <t>Missile Guidance Facility</t>
  </si>
  <si>
    <t>Missile Access Shaft</t>
  </si>
  <si>
    <t>Missile Access Tunnel</t>
  </si>
  <si>
    <t>Missile Defense Facility</t>
  </si>
  <si>
    <t>Ballistic Missile Control Facility</t>
  </si>
  <si>
    <t>Mechanical Security Barricade</t>
  </si>
  <si>
    <t>Crash Barrier, 12' Wide, Portable Wedge Crash, including LME for complete installation</t>
  </si>
  <si>
    <t>Crash Barrier, 20' Wide Sliding Roller, including LME for complete installation</t>
  </si>
  <si>
    <t>Raised Bollard Crash Barrier, 10' Wide, Standard Power, including LME for complete installation</t>
  </si>
  <si>
    <t>Raised Bollard Crash Barrier, 12' Wide, Standard Power, including LME for complete installation</t>
  </si>
  <si>
    <t>Raised Bollard Crash Barrier, 10' Wide, Solar Power, including LME for complete installation</t>
  </si>
  <si>
    <t>Raised Bollard Crash Barrier, 12' Wide, Solar Power, including LME for complete installation</t>
  </si>
  <si>
    <t>In-ground Tire Shredder, 15" Wide, including LME for complete installation</t>
  </si>
  <si>
    <t>Overhead Cover</t>
  </si>
  <si>
    <t xml:space="preserve">Overhead Protection/Canopy - General </t>
  </si>
  <si>
    <t>Aircraft Arresting System</t>
  </si>
  <si>
    <t>FY2020 PUC</t>
  </si>
  <si>
    <t>Aircraft Firing-In Butt</t>
  </si>
  <si>
    <t>66/9</t>
  </si>
  <si>
    <t>Shooting Range, w/bullet traps, high range, 10 positions</t>
  </si>
  <si>
    <t>Aircraft Shelter, Hardened</t>
  </si>
  <si>
    <t>AF Military Construction Program</t>
  </si>
  <si>
    <t>MILCON Projects</t>
  </si>
  <si>
    <t>Hardened AC Shelter Funded Construction</t>
  </si>
  <si>
    <t>SM</t>
  </si>
  <si>
    <t>SM to SF</t>
  </si>
  <si>
    <t>Kunsan Air Base, ROK, 2017  DD 1391 for 18 EA 3rd Gen HAS Shelters</t>
  </si>
  <si>
    <t>Aircraft Shelter</t>
  </si>
  <si>
    <t>F-35A Aircraft Shelter, Category Code 141-181</t>
  </si>
  <si>
    <t>Military Cost Premium not added because cost taken from military construction document</t>
  </si>
  <si>
    <t>This unit price based upon two Air Force MILCON DD Forms 1391 Project Data Sheets submitted to Congress for the FY17 program (Projects # FTQW170112 and FTQW183001) for construction of two 16-bay aircraft  weather shelters at Eielson AFB.  Area Cost Factor derived from USACE PAX Newsletter 3.2.1, Area Cost Factors, 28 March 2017.</t>
  </si>
  <si>
    <t>Aircraft Support Facility</t>
  </si>
  <si>
    <t>Weighted Cost</t>
  </si>
  <si>
    <t>2-WAY-6" DIA PVC, ENCASED BURIAL, INCL EXCAV, CIP CONC &amp; BACKFILL</t>
  </si>
  <si>
    <t>UG Electric Lines #4/0 - 3/C, 600 Volt SEU Copper Conductor</t>
  </si>
  <si>
    <t>UGND HAND HOLES, 4' x 4' x 4' DEEP, PRECAST CONC w/ COVER, EXCL EXCAV, CIP CONC &amp; BACKFILL</t>
  </si>
  <si>
    <t>Airfield Runway, 12" Thick Fixed Form, 4500 PSI w/Rebar</t>
  </si>
  <si>
    <t>Propulsion Support Facility</t>
  </si>
  <si>
    <t>Assumed Size</t>
  </si>
  <si>
    <t>5,000 SF</t>
  </si>
  <si>
    <t>Weapons Support Facility</t>
  </si>
  <si>
    <t xml:space="preserve">14/15 </t>
  </si>
  <si>
    <t>Industrials, Heavy (Process) Manufacturing, Class A, Average, including elevator and craneway. Deduct $2.51 for no elevator.</t>
  </si>
  <si>
    <t>58/6</t>
  </si>
  <si>
    <t>Bridge Crane, 20 FT span, 5 Ton</t>
  </si>
  <si>
    <t>Craneway electrical conductor</t>
  </si>
  <si>
    <t>LF to EA</t>
  </si>
  <si>
    <t>Sprinkler, 5000 SF, Dry System, Average</t>
  </si>
  <si>
    <t>Explosives Railway Holding Yard</t>
  </si>
  <si>
    <t>17/29</t>
  </si>
  <si>
    <t>Arch-rib (Quonset) Farm Implement Building, Class D, Average  (Assume 4 EA)</t>
  </si>
  <si>
    <t>66/3</t>
  </si>
  <si>
    <t>Rail Spur, 130# rail, assume 1,000 LF</t>
  </si>
  <si>
    <t>LF Total</t>
  </si>
  <si>
    <t>Add for Rail Turnout, Assume 2</t>
  </si>
  <si>
    <t>51/3</t>
  </si>
  <si>
    <t>Reinforced Concrete foundation walls for Quonset Building, 12 IN;  4 EA x 150 LF X 10 FT high = 6,000 SF wall</t>
  </si>
  <si>
    <t>51/2</t>
  </si>
  <si>
    <t xml:space="preserve">Berm, bulk excavation, medium earth, placed around each Quonset building (parabolic section (2/3 B*H) 60 FT long, 10 FT high, 8 EA = 3,216 CF) </t>
  </si>
  <si>
    <t>CF</t>
  </si>
  <si>
    <t>Explosives Holding/Transfer Facility</t>
  </si>
  <si>
    <t>Inflation Adjustment
by MILCON Index</t>
  </si>
  <si>
    <t>CY/SY</t>
  </si>
  <si>
    <t>Note: Lightning protection and fence calculated separately as stand alone assets</t>
  </si>
  <si>
    <t>Revetment</t>
  </si>
  <si>
    <t>Earth Work: Backfill and compaction, confined area, medium earth</t>
  </si>
  <si>
    <t>CY to EA</t>
  </si>
  <si>
    <t>Haul and Fill, 5 CY Truck, 3 miles</t>
  </si>
  <si>
    <t>Gabions filled with stone</t>
  </si>
  <si>
    <t>SY to EA</t>
  </si>
  <si>
    <t>Geotextile fabric</t>
  </si>
  <si>
    <t>Assume 150 LF, 8 FT High x 4 FT Wide revetment; 4,800 CF = 177 CY volume and 133 SY per side</t>
  </si>
  <si>
    <t>Unified Facilities Criteria (UFC) 3-220-10N, Soil Mechanics; and, UFC 3-201-01, Civil Engineering, contain no design criteria for revetments.  UFC 3-220-01, Geotechnical Engineering,  requires a registered design professional evaluate conditions and the safety factors of new construction.  The replacement unit cost calculation materials and quantities were developed by Mr. Gary Calese, P.E., a registered design professional.</t>
  </si>
  <si>
    <t xml:space="preserve">No UFC criteria exist for component material.  </t>
  </si>
  <si>
    <t>The average size for this FAC in the 2020 RPAD is 7.7 EA (each); 2,010 records)</t>
  </si>
  <si>
    <t xml:space="preserve">UFC 3-600-01, "Fire Protection Engineering for Facilities," contains no requirement for fire suppression. </t>
  </si>
  <si>
    <t>No UFC criteria exist for component material .</t>
  </si>
  <si>
    <t xml:space="preserve">Documentation for proposed business rules reflecting DoD established practices for components or materials  </t>
  </si>
  <si>
    <t>Tactical Vehicle Wash Facility</t>
  </si>
  <si>
    <t>Central Wash Facility, 16 Stations</t>
  </si>
  <si>
    <t>1 EA</t>
  </si>
  <si>
    <t>SF/EA</t>
  </si>
  <si>
    <t>Security Support Building</t>
  </si>
  <si>
    <t>Search Office/ Sentry Building</t>
  </si>
  <si>
    <t>Gatehouse</t>
  </si>
  <si>
    <t>Guard booth (Guardhouse)</t>
  </si>
  <si>
    <t>Visitor Control Center</t>
  </si>
  <si>
    <t>Miscellaneous Operations Support Facility</t>
  </si>
  <si>
    <t>Category Code</t>
  </si>
  <si>
    <t>Weighted Average PUC</t>
  </si>
  <si>
    <t>Pier</t>
  </si>
  <si>
    <t>FY09 Study for CNIC</t>
  </si>
  <si>
    <t>Unit Price</t>
  </si>
  <si>
    <t>Military Cost Premium not added because reference cost taken from military construction documents</t>
  </si>
  <si>
    <t>Wharf</t>
  </si>
  <si>
    <t>Pier/Wharf Access Trestle</t>
  </si>
  <si>
    <t>Ship &amp; Boat Dock, Heavy Construction, Heavy wood girders, 4"  or heavier decking, Heavy Piling;  includes railing, utilities, fenders; exclusive of buildings</t>
  </si>
  <si>
    <t>SF to SY</t>
  </si>
  <si>
    <t>Divided by 2020 DoD ACF for Arlington, VA</t>
  </si>
  <si>
    <t>Shore Erosion Prevention Facility</t>
  </si>
  <si>
    <t>Marshall and Swift Valuation, October 2020</t>
  </si>
  <si>
    <t>51/4</t>
  </si>
  <si>
    <t>Small Craft Berthing</t>
  </si>
  <si>
    <t>FB</t>
  </si>
  <si>
    <t>SF/FB</t>
  </si>
  <si>
    <t>Convert SF to FB:  Width of pier or wharf = 40.  Assume 1/2 pier, 1/2 wharf.  Average of ((40 SF/2 FB) + (40 SF/1 FB))/2 = 30 SF/FB</t>
  </si>
  <si>
    <t>FB = LF of Berthing</t>
  </si>
  <si>
    <t>Small Craft Building</t>
  </si>
  <si>
    <t>17/18</t>
  </si>
  <si>
    <t>Boat Storage Building, Class S, Average, Metal siding on steel frame; boat racks &amp; minimum electrical/water service</t>
  </si>
  <si>
    <t>Magnetic Silencing Range</t>
  </si>
  <si>
    <t>Service Reported Construction Cost</t>
  </si>
  <si>
    <t>Project</t>
  </si>
  <si>
    <t>Replacement of MS Range at Kings Bay Georgia FY20</t>
  </si>
  <si>
    <t>NAVSUBASE New London Degaussing Range FY20</t>
  </si>
  <si>
    <t>NAVBASE Guam UEMMS Installation FY22</t>
  </si>
  <si>
    <t>PUC Average</t>
  </si>
  <si>
    <t>Water Launch Ramp</t>
  </si>
  <si>
    <t>Slab on Grade, 12", Reinforced</t>
  </si>
  <si>
    <t>Concrete Waterproofing, Silicone Spray, 2 coats</t>
  </si>
  <si>
    <t>EA to SY</t>
  </si>
  <si>
    <t>Harbor Control Facility</t>
  </si>
  <si>
    <t>Offshore Mooring Facility</t>
  </si>
  <si>
    <t>Harbor Marine Improvements</t>
  </si>
  <si>
    <t>Commercial Reduction</t>
  </si>
  <si>
    <t>SY to LF</t>
  </si>
  <si>
    <t>General Purpose Instruction Building</t>
  </si>
  <si>
    <t>Academic Instruction Building: General Instruction (Lecture Classroom)</t>
  </si>
  <si>
    <t>Applied Instruction Building</t>
  </si>
  <si>
    <t>Academic Instruction Building: Applied Instructions (Hands-on Training) - Small (&lt;35,000 SF)</t>
  </si>
  <si>
    <t>Band Training Facility</t>
  </si>
  <si>
    <t>Reserve Training Facility</t>
  </si>
  <si>
    <t>Armed Forces Reserve Center</t>
  </si>
  <si>
    <t>Physical Education Building</t>
  </si>
  <si>
    <t>Organizational Classroom</t>
  </si>
  <si>
    <t>Academic Instruction Buildings: General Instruction (Lecture/Classroom)</t>
  </si>
  <si>
    <t>Indoor Firing Range and Supporting Facility</t>
  </si>
  <si>
    <t>Indoor Firing Range</t>
  </si>
  <si>
    <t>Flight Simulator Facility</t>
  </si>
  <si>
    <t>Academic Instruction Buildings: High Bay w/ Simulation Training -Small (&lt;18,000 SF)</t>
  </si>
  <si>
    <t>Physiological Training Facility</t>
  </si>
  <si>
    <t>Academic Instruction Buildings: High Bay w/ Simulation Training - Small (&lt;18,000 SF)</t>
  </si>
  <si>
    <t>Gas Training Facility</t>
  </si>
  <si>
    <t>General Purpose Simulator Facility</t>
  </si>
  <si>
    <t xml:space="preserve"> </t>
  </si>
  <si>
    <t>Training Pool and Tank</t>
  </si>
  <si>
    <t>Pour Concrete Pool, 25 M x 50 M = 13,455 SF Surface Area</t>
  </si>
  <si>
    <t>18/22</t>
  </si>
  <si>
    <t>18/36</t>
  </si>
  <si>
    <t>Sprinkler, 15,000 SF, Wet System, Good</t>
  </si>
  <si>
    <t>1 SM = 10.764 SF</t>
  </si>
  <si>
    <t>Enclosed Fire Fighter Trainer Facility</t>
  </si>
  <si>
    <t>15/29</t>
  </si>
  <si>
    <t>Fire Training Tower, Average, Add 45% for insulated tiles</t>
  </si>
  <si>
    <t>CF to SF</t>
  </si>
  <si>
    <t xml:space="preserve">66/11 </t>
  </si>
  <si>
    <t>Polyethylene chamber water detention system, complete, 5,000 GA</t>
  </si>
  <si>
    <t>GA to SF</t>
  </si>
  <si>
    <t>EA to SF</t>
  </si>
  <si>
    <t>Welded Steel Pressure Tank, 4 EA, 9,000 GA EA</t>
  </si>
  <si>
    <t>62/1</t>
  </si>
  <si>
    <t>Industrial Pump, 4 EA, 2.5" Suction, 7.5 HP 3,550 RPM</t>
  </si>
  <si>
    <t>62/2</t>
  </si>
  <si>
    <t>Black Steel Threaded Pipe, 2" non-buried, 1,800 LF</t>
  </si>
  <si>
    <t>LF to SF</t>
  </si>
  <si>
    <t>Range Support Building</t>
  </si>
  <si>
    <t>Reference</t>
  </si>
  <si>
    <t>End Item</t>
  </si>
  <si>
    <t xml:space="preserve">Component Price </t>
  </si>
  <si>
    <t>Structure, Reinforced concrete (Armory, Class CDS) 12 EA, 1,800 SF</t>
  </si>
  <si>
    <t>Training Aids Support Building</t>
  </si>
  <si>
    <t>17/31</t>
  </si>
  <si>
    <t>Urban Cluster (Bank Barn, 2-Story, Class D, Low Cost)  (Use Class C Current Cost Multiplier for consistency)</t>
  </si>
  <si>
    <t>Target Bunker (Catch Basin,  4' deep)</t>
  </si>
  <si>
    <t>Training Aid Support Center for Range Complex</t>
  </si>
  <si>
    <t>66/2</t>
  </si>
  <si>
    <t xml:space="preserve">SIT  / WSIT Emplacement or Vehicle Firing Point (62, 94, or 128 SF concrete x 8" thick with bar reinforcing) </t>
  </si>
  <si>
    <t xml:space="preserve">SAT Emplacement or VBP Defilade (468 or 481 SF concrete x 12" thick w/Rebar) </t>
  </si>
  <si>
    <t>Training Support Structure</t>
  </si>
  <si>
    <t>Slab on Grade, 6" reinforced</t>
  </si>
  <si>
    <t>Service Switchgear, 100 Amps, Light Commercial</t>
  </si>
  <si>
    <t>Covered Bleacher - Range  (Bleacher Enclosure), EA</t>
  </si>
  <si>
    <t>EA/SF</t>
  </si>
  <si>
    <t>Service Switchgear, 200 Amps, Light Commercial</t>
  </si>
  <si>
    <t>Covered Mess - Range (Small)</t>
  </si>
  <si>
    <t>Circuit Breaker, 240-480 Volts, 20-60 Amps</t>
  </si>
  <si>
    <t>Circuit Breaker, 240-480 Volts, 125-250 Amps</t>
  </si>
  <si>
    <t>54/3</t>
  </si>
  <si>
    <t>Outlet, Rigid Conduit, Average, with Ground Fault Interrupter, 4 per SIT</t>
  </si>
  <si>
    <t>54/2</t>
  </si>
  <si>
    <t>Underground Wiring, 2", plastic duct, plus excavation and backfill</t>
  </si>
  <si>
    <t>Rigid Conduit and Wiring, 1", includes tees, ells, junction boxes, hangers and fittings</t>
  </si>
  <si>
    <t>Trolleyway, 1 Ton, 50 FT / MIT</t>
  </si>
  <si>
    <t>Trolley, Motorized, 0.5 ton, 1 per MIT</t>
  </si>
  <si>
    <t>Foxhole with Drain (36" reinforced Concrete Storm Drainage, 4' deep)</t>
  </si>
  <si>
    <t xml:space="preserve">Target Boots / 4 per FP; Concrete perimeter footing, 12" below grade </t>
  </si>
  <si>
    <t xml:space="preserve">Maneuver/Training Land, Light Forces </t>
  </si>
  <si>
    <t>AC</t>
  </si>
  <si>
    <t>No Replacement Cost Defined</t>
  </si>
  <si>
    <t>Utility tunnel, 3"-5" wall thickness, reinforced concrete, medium soil, 5'x7' cross-section, 504 LF</t>
  </si>
  <si>
    <t>Road, Plant Mix Asphalt Concrete surface, 3" thick, 1,500 SY</t>
  </si>
  <si>
    <t>N/A</t>
  </si>
  <si>
    <t>8" Thick Reinforced Concrete Pavement,  4,500 PSI, 12' pass</t>
  </si>
  <si>
    <t>Berm, 522 M x 2 M x 5 M = 6,828 CY / Backfill &amp; Dozer  compaction</t>
  </si>
  <si>
    <t xml:space="preserve">Maneuver/Training Land, Heavy Forces </t>
  </si>
  <si>
    <t>Fine Grading for Roadways, Base or Levelling Course, Large Areas &gt; 6,000 SY;  11,525 SY</t>
  </si>
  <si>
    <t>Bank run gravel, Spread with Dozer, 409 CY per berm</t>
  </si>
  <si>
    <t>10" Thick Reinforced Concrete Pavement, 4,500 PSI,  12' pass</t>
  </si>
  <si>
    <t>Weapons Impact Area</t>
  </si>
  <si>
    <t>Parachute Drop Zone</t>
  </si>
  <si>
    <t>Parade and Drill Field</t>
  </si>
  <si>
    <t>66/8</t>
  </si>
  <si>
    <t>SF to AC</t>
  </si>
  <si>
    <t>General Purpose Small Arms Range</t>
  </si>
  <si>
    <t>FP</t>
  </si>
  <si>
    <t>TC 25-8 Standard Size</t>
  </si>
  <si>
    <t>Section/ CATCODE</t>
  </si>
  <si>
    <t xml:space="preserve">SIT Emplacement (62 SF concrete x 8" thick with bar reinforcing), per FP </t>
  </si>
  <si>
    <t>SF per FP</t>
  </si>
  <si>
    <t>EA per FP</t>
  </si>
  <si>
    <t>Underground Wiring, 2", plastic duct, plus excavation and backfill (574 FT Average Distance)</t>
  </si>
  <si>
    <t>LF per FP</t>
  </si>
  <si>
    <t>Foxhole with Drain (36" reinforced Concrete Culvert. 4' deep)</t>
  </si>
  <si>
    <t>Berm, 522 M x 2M x 5M = 6,828 CY; Dozer backfill &amp; Roller compaction</t>
  </si>
  <si>
    <t>CY per FP</t>
  </si>
  <si>
    <t>Bank run gravel, Spread w/ 200 HP Dozer, including load at pit &amp; haul, 2 MI round trip, no compaction (409 CY per berm)</t>
  </si>
  <si>
    <t>Zero Range</t>
  </si>
  <si>
    <t>EA to FP</t>
  </si>
  <si>
    <t>Berm, 148 M x 2 M x 5 M = 1,936 CY; backfill &amp; compaction</t>
  </si>
  <si>
    <t>Bank run gravel, Spread, 387 CY per berm</t>
  </si>
  <si>
    <t>Field Fire Range</t>
  </si>
  <si>
    <t>TC 25-8 Standard Size - Automated Field Fire Range</t>
  </si>
  <si>
    <t>SIT Emplacement (62 SF concrete x 8" thick w/Rebar), 3 per FP</t>
  </si>
  <si>
    <t>Berm, 522 M x 2 M x 5 M = 6,828 CY; backfill &amp; compaction</t>
  </si>
  <si>
    <t>Bank run gravel, Spread, 1,044 CY per berm</t>
  </si>
  <si>
    <t>Record Fire Range</t>
  </si>
  <si>
    <t>TC 25-8 Standard Size - Automated Record Fire Range</t>
  </si>
  <si>
    <t>SIT Emplacement (62 SF concrete x 8" thick with Rebar), 7 per FP</t>
  </si>
  <si>
    <t>Underground Wiring, 2", plastic duct, 574 FT Average Distance, plus excavation and backfill</t>
  </si>
  <si>
    <t>Berm, 340 M x 2M x 5 M = 4,447 CY; backfill &amp; compaction</t>
  </si>
  <si>
    <t>Bank run gravel, Spread, 445 CY per berm</t>
  </si>
  <si>
    <t>Night Fire Range</t>
  </si>
  <si>
    <t>SIT Emplacement (62 sf concrete x 8" thick w/Rebar); 2 per FP</t>
  </si>
  <si>
    <t>Underground Wiring, 2", plastic duct, 164 FT average distance, plus excavation and backfill</t>
  </si>
  <si>
    <t>Berm, 522 M x 2 M x 3 M = 4,096 CY; backfill &amp; compaction</t>
  </si>
  <si>
    <t>Bank run gravel, Spread, 409 CY per berm</t>
  </si>
  <si>
    <t>Known Distance Range</t>
  </si>
  <si>
    <t>Rigid Conduit and Wiring, 1",  525 FT average distance</t>
  </si>
  <si>
    <t>Berm, 340 M x 4 M x 5 M = 8,894 CY; backfill &amp; compaction</t>
  </si>
  <si>
    <t>Sniper Range</t>
  </si>
  <si>
    <t>TC 25-8 Standard Size - Automated Sniper Field Fire Range</t>
  </si>
  <si>
    <t>Sniper range = 4 SITs/6MITs/8 Iron Maiden Pads per FP</t>
  </si>
  <si>
    <t>SIT Emplacement (62 SF concrete x 8" thick with Rebar), 4 per FP</t>
  </si>
  <si>
    <t xml:space="preserve">MIT Emplacement 15 M (15 M x . 5M =7 .5 SM) 12" concrete wall </t>
  </si>
  <si>
    <t>Trolley, Motorized, 0.5 Ton, 1 per MIT</t>
  </si>
  <si>
    <t>Outlet, Rigid Conduit, Average, with Ground Fault Interrupter (4 per MIT, SIT)</t>
  </si>
  <si>
    <t>Underground Wiring, 2", plastic duct, 1,640 FT average distance, plus excavation and backfill</t>
  </si>
  <si>
    <t>Concrete Pad 4 FT x 8 FT (1 per Firing Pad / 1 per Iron Maiden Pad)</t>
  </si>
  <si>
    <t>Berm, 80 M x 2 M x 5 M = 1,046 CY; backfill &amp; compaction</t>
  </si>
  <si>
    <t>Pistol Range</t>
  </si>
  <si>
    <t>TC 25-8 Standard Size - Automated Combat Pistol Range</t>
  </si>
  <si>
    <t>SIT Emplacement (62 SF concrete x 8" thick with Rebar), 8 per FP</t>
  </si>
  <si>
    <t>Underground Wiring, 2", plastic duct, 101 FT Average Distance, plus excavation and backfill</t>
  </si>
  <si>
    <t>Bank run gravel, Spread, 445 CY per range</t>
  </si>
  <si>
    <t>Berm, 8  EA per FP, 1 M x 1 M x 2 M = 20.9 CY; backfill &amp; compaction</t>
  </si>
  <si>
    <t>Machinegun Range</t>
  </si>
  <si>
    <t>TC 25-8 Standard Size - Automated Multipurpose Machinegun</t>
  </si>
  <si>
    <t>MPMG = 3 SITs/5 WSITs/2MITs/2 SATs/8 Iron Maiden Pads per FP</t>
  </si>
  <si>
    <t>SIT Emplacement (62 SF concrete x 8" thick with Rebar), 3 per FP</t>
  </si>
  <si>
    <t>WSIT Emplacement (94 SF concrete x 8" thick with Rebar),  5 per FP</t>
  </si>
  <si>
    <t>SAT Emplacement (468 SF concrete x 12" thick with Rebar), 2 per FP</t>
  </si>
  <si>
    <t xml:space="preserve">MIT Emplacement 15M (15 M x 0.5 M = 7.5 SM), 12" concrete wall </t>
  </si>
  <si>
    <t>Circuit Breaker, 240-480 Volts, 125 - 250 Amps</t>
  </si>
  <si>
    <t>Outlet, Rigid Conduit, Average, with Ground Fault Interrupter (5 per SAT; 4 per MIT, SIT; 6 per WSIT))</t>
  </si>
  <si>
    <t>Underground Wiring, 2", plastic duct, 1,640 FT Average Distance, plus excavation and backfill</t>
  </si>
  <si>
    <t>Berm, 30 M x 2 M x 5 M = 392 CY; backfill &amp; compaction</t>
  </si>
  <si>
    <t>Bank run gravel, Spread, 39 CY per range</t>
  </si>
  <si>
    <t>General Purpose Direct Fire Range</t>
  </si>
  <si>
    <t>Vehicle Battle Position - Defilade (481 SF concrete x 10" thick with Rebar), Unit Cost divided by 9 for SF</t>
  </si>
  <si>
    <t>Berm, 148 M x 2M x 5 M = 1,936 CY; backfill &amp; compaction</t>
  </si>
  <si>
    <t>Bank run gravel, Spread, 327 CY per range</t>
  </si>
  <si>
    <t>Grenade Launcher Range</t>
  </si>
  <si>
    <t>Target Berm, 1 M x 1 M x 2 M x 4 targets/lane = 2.6 CY; Backfill &amp; compaction</t>
  </si>
  <si>
    <t>Berm, 40 M x 1 M x 2 M = 104 CY; backfill &amp; compaction</t>
  </si>
  <si>
    <t>Bank run gravel, Spread, 104 CY per berm</t>
  </si>
  <si>
    <t>Grenade Machinegun Range</t>
  </si>
  <si>
    <t>LN</t>
  </si>
  <si>
    <t>Vehicle Firing Point (128 SF concrete x 8" thick with Rebar), Price per SY in PAX divided by 9 for SF</t>
  </si>
  <si>
    <t>SF per LN</t>
  </si>
  <si>
    <t>Berm, 20 M x 2 M x 1 M = 52 CY; backfill &amp; compaction</t>
  </si>
  <si>
    <t>CY per LN</t>
  </si>
  <si>
    <t>Bank run gravel, Spread, 20 CY per LN</t>
  </si>
  <si>
    <t>Light Antiarmor Weapon Range (LAWR)</t>
  </si>
  <si>
    <t>LAWR/AT-4 = 2 MG Bunkers/ 9 SATs / 2 MATs per FP</t>
  </si>
  <si>
    <t>Stationary Armor Target (SAT) Emplacement (468 SF concrete x 12" thick w/Rebar) 9 per FP</t>
  </si>
  <si>
    <t>MAT Emplacement 200M (200 M x 1 M= 2153 SF), 12" concrete wall, 2 per FP</t>
  </si>
  <si>
    <t>Trolleyway, 1 Ton, 656 FT / MAT</t>
  </si>
  <si>
    <t>Trolley, Motorized, 0.5 ton, 1 per MAT</t>
  </si>
  <si>
    <t>Outlet, Rigid Conduit, Average, with Ground Fault Interrupter (5 per SAT; 4 per MAT)</t>
  </si>
  <si>
    <t>Underground Wiring, 2", plastic duct, 984 FT Average Distance</t>
  </si>
  <si>
    <t>Concrete Bunker 4 FT x4 FT = 96 SF of 12" concrete, 2 EA</t>
  </si>
  <si>
    <t>Berm, 400 M x 1 M x 1 M = 523 CY; Backfill &amp; compaction</t>
  </si>
  <si>
    <t>Heavy Antiarmor Weapon Range (HAWR)</t>
  </si>
  <si>
    <t>TC 25-8 Standard Size - Antiarmor Tracking and Live Fire (ATLF)</t>
  </si>
  <si>
    <t>HAWR = 12 SATs / 5 MATs / 1 Course Road per LN</t>
  </si>
  <si>
    <t>SAT Emplacement (468 SF concrete x 12" thick With Rebar), 12 per LN</t>
  </si>
  <si>
    <t xml:space="preserve">MAT Emplacement 350M (350 M x 1 M= 3,767 SF) 12" concrete wall </t>
  </si>
  <si>
    <t>EA per LN</t>
  </si>
  <si>
    <t>Trolleyway, 1 Ton, 1,148 FT / MAT</t>
  </si>
  <si>
    <t>LF per LN</t>
  </si>
  <si>
    <t>Underground Wiring, 2", plastic duct, 6,761 FT Average Distance, plus excavation and backfill</t>
  </si>
  <si>
    <t>Trail Grading, Fine Grading for Roadways, Base Course 11,525 SY</t>
  </si>
  <si>
    <t>SY per LN</t>
  </si>
  <si>
    <t>Vehicle Battle Position 6 EA; Defilade (481 SF concrete x 12" thick with Rebar)</t>
  </si>
  <si>
    <t>Berm, 1800 M x 2 M x 1 M = 4,709 CY; backfill &amp; compaction</t>
  </si>
  <si>
    <t>Bank run gravel, Spread, 1,063 CY per LN</t>
  </si>
  <si>
    <t>Artillery Direct Fire Range (ADFR)</t>
  </si>
  <si>
    <t>ADFR = 18 SATs / 6 Firing Positions per Range</t>
  </si>
  <si>
    <t>SAT Emplacement (468 SF concrete x 12" thick with Rebar); 6 per range</t>
  </si>
  <si>
    <t>SF per Range</t>
  </si>
  <si>
    <t>EA per Range</t>
  </si>
  <si>
    <t>Outlet, Rigid Conduit, Average, with Ground Fault Interrupter (5 per SAT)</t>
  </si>
  <si>
    <t>Underground Wiring, 2" plastic duct, 2,560 FT Average Distance, plus excavation and backfill</t>
  </si>
  <si>
    <t>LF per Range</t>
  </si>
  <si>
    <t>SY per Range</t>
  </si>
  <si>
    <t>Vehicle Battle Position 6 EA - Defilade (481 SF concrete x 12" thick with Rebar)</t>
  </si>
  <si>
    <t>Berm, 117 M x 2 M x 1 M = 279 CY; backfill &amp; compaction</t>
  </si>
  <si>
    <t>CY per Range</t>
  </si>
  <si>
    <t>Bank run gravel, Spread, 215 CY per range</t>
  </si>
  <si>
    <t>Tank Stationary Gunnery Range (TSGR)</t>
  </si>
  <si>
    <t>TC 25-8 Standard Size - Tank Stationary Gunnery Range</t>
  </si>
  <si>
    <t>TSGR = 25 SATs / 4 MATs / 42 SITS / 7 MITS per Range</t>
  </si>
  <si>
    <t>SIT Emplacement (62 SF concrete x 8" thick w/Rebar); 42 per range</t>
  </si>
  <si>
    <t>SAT Emplacement (468 SF concrete x 12" thick w/Rebar), 25 per range</t>
  </si>
  <si>
    <t xml:space="preserve">MAT Emplacement 200 M (200 M x 1 M= 2,152 SF), 12" concrete wall </t>
  </si>
  <si>
    <t xml:space="preserve">MIT Emplacement 15 M (15 Mx 0.5 M = 80.7 SF), 12" concrete wall </t>
  </si>
  <si>
    <t>Trolleyway, 1 Ton, 656 FT / MAT;  49 FT / MIT</t>
  </si>
  <si>
    <t>Trolley, Motorized, 0.5 ton, 1 per MAT / MIT</t>
  </si>
  <si>
    <t>Outlet, Rigid Conduit, Average, with Ground Fault Interrupter (5 per SAT; 4 per MAT, MIT, SIT)</t>
  </si>
  <si>
    <t>Underground Wiring, 2", plastic duct, 5,105 FT Average Distance, plus excavation and backfill</t>
  </si>
  <si>
    <t>Trail Grading, Fine Grading for Roadways, Base Course 2,488 SY</t>
  </si>
  <si>
    <t>Vehicle Battle Position 2 EA - Defilade (481 SF concrete x 12" thick with Rebar)</t>
  </si>
  <si>
    <t>Vehicle Firing Point, 10 EA (128 SF concrete x 8" thick with Rebar)</t>
  </si>
  <si>
    <t>Berm, 1,400 M x 2 M x 1 M = 3,662 CY; backfill &amp; compaction</t>
  </si>
  <si>
    <t>Bank run gravel, Spread, 1,063 CY per range</t>
  </si>
  <si>
    <t>Indirect Fire Range</t>
  </si>
  <si>
    <t xml:space="preserve">
No Replacement Cost Defined
</t>
  </si>
  <si>
    <t>Scaled Indirect Fire Range</t>
  </si>
  <si>
    <t>Artillery Direct Firing Range (ADFR) = 6 Hasty Firing Positions per Range</t>
  </si>
  <si>
    <t>Scaled Gunnery Range (SGR)</t>
  </si>
  <si>
    <t>TC 25-8 Standard Size - Tank/Fighting Vehicle Scaled Gunnery Range</t>
  </si>
  <si>
    <t>SGR =  16 SITS / 8 MITS per Range</t>
  </si>
  <si>
    <t>SIT Emplacement (62 SF concrete x 8" thick with Rebar), 16 per range</t>
  </si>
  <si>
    <t xml:space="preserve">MIT Emplacement 15 M (15 M x 0.5 M = 80.7 SF), 12" concrete wall </t>
  </si>
  <si>
    <t>Trolleyway, 1 Ton,  49 FT / MIT</t>
  </si>
  <si>
    <t>Underground Wiring, 2", plastic duct, 356 FT Average Distance, plus excavation and backfill</t>
  </si>
  <si>
    <t>Trail Grading, Fine Grading for Roadways, Base Course 478 SY</t>
  </si>
  <si>
    <t>Vehicle Battle Position, 2 EA - Defilade (481 SF concrete x 12" thick with rebar)</t>
  </si>
  <si>
    <t>Vehicle Firing Point, 2 EA (128 SF concrete x 8" thick with rebar)</t>
  </si>
  <si>
    <t>Berm, 220 M x 2 M x 1 M = 575 CY, backfill &amp; compaction</t>
  </si>
  <si>
    <t>Bank run gravel, Spread, 156 CY per Range</t>
  </si>
  <si>
    <t>Armor Vehicle Crew Training Range</t>
  </si>
  <si>
    <t xml:space="preserve">TC 25-8 Standard Size / Digital Multipurpose Training Range (DPMTR) </t>
  </si>
  <si>
    <t xml:space="preserve">DMPTR= 30 SATs / 6 MATs / 146 SITs / 4 MITs </t>
  </si>
  <si>
    <t xml:space="preserve">SIT Emplacement (62 SF concrete x 8" thick w/Rebar) 146 per LN </t>
  </si>
  <si>
    <t>SAT Emplacement (468 SF concrete x 12" thick w/Rebar) 30 per LN</t>
  </si>
  <si>
    <r>
      <t>MAT Emplacement 200 M</t>
    </r>
    <r>
      <rPr>
        <vertAlign val="superscript"/>
        <sz val="11"/>
        <rFont val="Calibri"/>
        <family val="2"/>
        <scheme val="minor"/>
      </rPr>
      <t>2</t>
    </r>
    <r>
      <rPr>
        <sz val="11"/>
        <rFont val="Calibri"/>
        <family val="2"/>
        <scheme val="minor"/>
      </rPr>
      <t xml:space="preserve"> (200 M x 1 M= 2,152 SF) 12" concrete wall </t>
    </r>
  </si>
  <si>
    <r>
      <t>MIT Emplacement 7.5 M</t>
    </r>
    <r>
      <rPr>
        <vertAlign val="superscript"/>
        <sz val="11"/>
        <rFont val="Calibri"/>
        <family val="2"/>
        <scheme val="minor"/>
      </rPr>
      <t>2</t>
    </r>
    <r>
      <rPr>
        <sz val="11"/>
        <rFont val="Calibri"/>
        <family val="2"/>
        <scheme val="minor"/>
      </rPr>
      <t xml:space="preserve"> (15 M x 0.5 M = 80.7 SF) 12" concrete wall </t>
    </r>
  </si>
  <si>
    <t>Trolleyway, 1 Ton, 656 FT / MAT,  49 FT /MIT</t>
  </si>
  <si>
    <t>Trail Grading, Fine Grading for Roadways, Base Course 2488 SY</t>
  </si>
  <si>
    <t>Vehicle Battle Position 8 EA - Defilade (481 SF concrete x 12" thick with Rebar)</t>
  </si>
  <si>
    <t>Total Berm, 2,184 M x 2 M x 1 M = 5,713 CY, backfill &amp; compaction</t>
  </si>
  <si>
    <t>Target Bunker (Catch Basin, 4 FT deep) x 2</t>
  </si>
  <si>
    <t>Bank run gravel, Spread, 7,850 CY per Range</t>
  </si>
  <si>
    <t>Urban Cluster / Bank Barn, 2 Story (20 FT x 20 FT), Class D, Low Cost, 7 EA Buildings (use Class C multiplier)</t>
  </si>
  <si>
    <t>Armor Vehicle Unit Training Range</t>
  </si>
  <si>
    <t xml:space="preserve">TC 25-8 Standard Size - Digital Multipurpose Training Complex (DMPRC) </t>
  </si>
  <si>
    <t xml:space="preserve">DMPRC= 80 SATs / 12 MATs / 294 SITs / 45 MITs </t>
  </si>
  <si>
    <t>SIT Emplacement (62 SF concrete x 8" thick with Rebar) 294 per range</t>
  </si>
  <si>
    <t>SAT Emplacement (468 SF concrete x 12" thick with Rebar) 80 per Range</t>
  </si>
  <si>
    <t xml:space="preserve">MAT Emplacement 200 M (200 M x 1 M = 2,152 SF) 12" concrete wall, 12 per Range </t>
  </si>
  <si>
    <t>MIT Emplacement 15 M (15 M x 0.5 M = 80.7 SF) 12" concrete wall, 45 per Range</t>
  </si>
  <si>
    <t>Trolleyway, 1 Ton, 656 FT / MAT, 49 FT / MIT</t>
  </si>
  <si>
    <t>Underground Wiring, 2", plastic duct, 6.5 lanes of targetry, plus excavation and backfill</t>
  </si>
  <si>
    <t>Trail Grading, Fine Grading for Roadways, Base Course 7464 SY</t>
  </si>
  <si>
    <t>Vehicle Battle Position 30 EA - Defilade (481 SF concrete x 12" thick with Rebar)</t>
  </si>
  <si>
    <t>Total Berm, 6,552 M x 2 M x 1 M = 17,139 CY, Backfill &amp; compaction</t>
  </si>
  <si>
    <t>Machine gun bunker (144 SF concrete x 8" with rebar,) 4 per Range</t>
  </si>
  <si>
    <t>Bank run gravel, Spread, 44,650 CY per Range</t>
  </si>
  <si>
    <t>Urban Cluster / Bank Barn, 2 Story (20 FT x 20 FT), Class D, Low Cost, 12 EA Buildings (Use Class C multiplier)</t>
  </si>
  <si>
    <t>Fire and Movement Range (FMR)</t>
  </si>
  <si>
    <t>TC 25-8 Standard Size / Fire and Movement Range (FMR)</t>
  </si>
  <si>
    <t>FMR= 6 SITs / LN; 4 lanes per FMR</t>
  </si>
  <si>
    <t>SIT Emplacement (62 SF concrete x 8" thick with Rebar) 6 per LN</t>
  </si>
  <si>
    <t>Outlet, Rigid Conduit, Average, with Ground Fault Interrupter (4 per SIT)</t>
  </si>
  <si>
    <t>Underground Wiring, 2", plastic duct, 346 FT Average Distance, plus excavation and backfill</t>
  </si>
  <si>
    <t>Berm, 150 M x 3M x 4M = 2,354 CY / Backfill &amp; compaction, 2 EA Berms / LN</t>
  </si>
  <si>
    <t>Bank run gravel, Spread, 39 CY per lane</t>
  </si>
  <si>
    <t>Squad Defense Range (SDR)</t>
  </si>
  <si>
    <t xml:space="preserve">TC 25-8 Standard Size / Squad Defense Range (SDR) </t>
  </si>
  <si>
    <t xml:space="preserve">SDR= 31 SITs  </t>
  </si>
  <si>
    <t>SIT Emplacement (62 sf concrete x 8" thick w/Rebar), 31 per range</t>
  </si>
  <si>
    <t>2-person fighting position (104 SF concrete x 8" with rebar), 5 per range</t>
  </si>
  <si>
    <t>Berm, 300 M x 2 M x 1 M = 785 CY / Backfill &amp; compaction</t>
  </si>
  <si>
    <t>Bank run gravel, Spread, 353 CY per berm</t>
  </si>
  <si>
    <t>Infantry Battle Course</t>
  </si>
  <si>
    <t>TC 25-8 Standard Size / Infantry Squad Battle Course (ISBC)</t>
  </si>
  <si>
    <t xml:space="preserve">ISBC= 6 SATs / 1 MATs / 20 SITs / 6 MITs </t>
  </si>
  <si>
    <t>SIT Emplacement (62 SF concrete x 8" thick with Rebar) 20 per range</t>
  </si>
  <si>
    <t>SAT Emplacement (468 SF concrete x 12" thick with Rebar) 6 per Range</t>
  </si>
  <si>
    <t xml:space="preserve">MAT Emplacement 200M (200 M x 1 M = 2,152 SF) 12" concrete wall </t>
  </si>
  <si>
    <t xml:space="preserve">MIT Emplacement 15M (15 M x 0.5 M = 80.7 SF 12" concrete wall </t>
  </si>
  <si>
    <t>Trolleyway, 1 Ton, 656 ft / MAT  49 LF /MIT</t>
  </si>
  <si>
    <t>Trail Grading, Fine Grading for Roadways, Base Course 2,392 SY</t>
  </si>
  <si>
    <t>Bank run gravel, Spread, 9,225 CY per Range</t>
  </si>
  <si>
    <t>Machine gun bunker (144 SF concrete x 8" with rebar), 5 per range</t>
  </si>
  <si>
    <t>Urban Combat Training Range</t>
  </si>
  <si>
    <t>TC 25-8 Standard Size / Urban Assault Course (UAC)</t>
  </si>
  <si>
    <t>SIT Emplacement (62 SF concrete x 8" thick, with Rebar), 26 per range</t>
  </si>
  <si>
    <t>Underground Wiring, 2", plastic duct, 8,150 LF, plus excavation and backfill</t>
  </si>
  <si>
    <t>8" Thick Reinforced Concrete Roadway, 897 SY per Range</t>
  </si>
  <si>
    <t xml:space="preserve">Road, Asphalt, 3" thick </t>
  </si>
  <si>
    <t>Shoothouse, Reinforced concrete (Armory, CDS) 12 EA, 600 SF</t>
  </si>
  <si>
    <t>Total Berm, 500 M x 2 M x 3 M = 3923 CY / Backfill &amp; compaction</t>
  </si>
  <si>
    <t>Machine gun bunker (144 SF concrete x 8" with rebar), 4 per Range</t>
  </si>
  <si>
    <t>Bank run gravel, Spread, 4622 cubic yards per UAC</t>
  </si>
  <si>
    <t>Urban Cluster / Bank Barn, 2 Story (20' x 20') , Class D, Low Cost,  3 EA  Buildings (Use Class C Multiplier)</t>
  </si>
  <si>
    <t xml:space="preserve">Convoy Live Fire Range (CLFR) </t>
  </si>
  <si>
    <t>TC 25-8 Standard Size / Convoy Live Fire Range</t>
  </si>
  <si>
    <t xml:space="preserve">FP for CLFR= 2 SATs / 2 MATs / 9 SITs / 1 MITs </t>
  </si>
  <si>
    <t>SIT Emplacement (62 SF concrete x 8" thick with Rebar),  9 per FP</t>
  </si>
  <si>
    <t xml:space="preserve">MAT Emplacement 200 M (200 M x 1 M = 2,152 SF), 12" concrete wall </t>
  </si>
  <si>
    <t>Trolleyway, 1 Ton, 656 LF / MAT,  49 LF / MIT</t>
  </si>
  <si>
    <t>Trail Grading, Fine Grading for Roadways, Base Course 1435 SY</t>
  </si>
  <si>
    <t>SY per FP</t>
  </si>
  <si>
    <t>Total Berm, 6,552 M x 2M x 1 M = 17,139 CY / Backfill &amp; compaction</t>
  </si>
  <si>
    <t>Bank run gravel, Spread, 431 CY per Range</t>
  </si>
  <si>
    <t>Urban Cluster / Bank Barn, 2 Story (20' x 20'), Class D Low Cost x 2 EA Buildings (Use Class C cost multiplier)</t>
  </si>
  <si>
    <t>Live Hand Grenade Range</t>
  </si>
  <si>
    <t>TC 25-8 Standard Size / Live Hand Grenade Familiarization Range</t>
  </si>
  <si>
    <t>Bank run gravel, Spread, 205 CY per FP</t>
  </si>
  <si>
    <t>Throwing Bay (160 SF concrete x 8" with Rebar)</t>
  </si>
  <si>
    <t xml:space="preserve">Blast Wall 50M (50 M x 3 M= 1,614 SF), 12" concrete wall </t>
  </si>
  <si>
    <t>Total Berm, 60 M x 3 M x 1 M = 235 CY yds / Backfill &amp; compaction</t>
  </si>
  <si>
    <t>Engineer Qualification Range (EQR)</t>
  </si>
  <si>
    <t>RPCS Standard Size</t>
  </si>
  <si>
    <t xml:space="preserve">FP for EQR= 2 SATs / 9 SITs </t>
  </si>
  <si>
    <t>SIT Emplacement (62 SF concrete x 8" thick with Rebar), 9 per FP</t>
  </si>
  <si>
    <t>SAT Emplacement (468 SF concrete x 12" thick with Rebar), 2 Per FP</t>
  </si>
  <si>
    <t>Outlet, Rigid Conduit, Average, with Ground Fault Interrupter (5 per SAT; 4 per SIT)</t>
  </si>
  <si>
    <t>Urban Cluster / Bank Barn, 2 Story (20' x 20'), Class D, Low Cost x 6 Buildings (Use Class C multiplier)</t>
  </si>
  <si>
    <t>Machine gun bunker (144 SF concrete x 8" with rebar), 4 per FP</t>
  </si>
  <si>
    <r>
      <t>Blast Wall 100 M</t>
    </r>
    <r>
      <rPr>
        <vertAlign val="superscript"/>
        <sz val="11"/>
        <rFont val="Calibri"/>
        <family val="2"/>
        <scheme val="minor"/>
      </rPr>
      <t>2</t>
    </r>
    <r>
      <rPr>
        <sz val="11"/>
        <rFont val="Calibri"/>
        <family val="2"/>
        <scheme val="minor"/>
      </rPr>
      <t xml:space="preserve"> (50 M x 2 M x 2 EA = 2152.8 SF), 12" concrete wall </t>
    </r>
  </si>
  <si>
    <t>TC 25-8 Standard Size / Light Demolition Range</t>
  </si>
  <si>
    <t>Miscellaneous Training Facility</t>
  </si>
  <si>
    <t>Miscellaneous Training Facility = 6 SITs and 2 SATs</t>
  </si>
  <si>
    <t>SIT Emplacement (62 SF concrete x 8" thick with Rebar), 6 per range</t>
  </si>
  <si>
    <t>SAT Emplacement (468 SF concrete x 12" thick, with Rebar), 2 per Range</t>
  </si>
  <si>
    <t>Trail Grading, Fine Grading for Roadways, Base Course 1,913 SY</t>
  </si>
  <si>
    <t>Total Berm, 400 M x 2 M x 1 M = 1,046 CY, Backfill &amp; compaction</t>
  </si>
  <si>
    <t>Bank run gravel, Spread, 628 CY per Range</t>
  </si>
  <si>
    <t>Urban Cluster / Bank Barn, 2 Story (20' x 20'), Class D, Low Cost x 2 Buildings (Use Class C multiplier)</t>
  </si>
  <si>
    <t>Machine gun bunker (144 SF concrete x 8" with rebar), 2 per Range</t>
  </si>
  <si>
    <t>FAC 1790 is a collection of 65 CATCODEs.  Components for this model represent an average of these facilities.</t>
  </si>
  <si>
    <t>Aircraft Weapons Calibration Range</t>
  </si>
  <si>
    <t>TC 25-8 Standard Size / Boresight, Screening and Harmonization Range (BSHR)</t>
  </si>
  <si>
    <t xml:space="preserve">BSHR = 8 SATs / 8 SITs </t>
  </si>
  <si>
    <t>SIT Emplacement (62 SF concrete x 8" thick with Rebar,  8 per range</t>
  </si>
  <si>
    <t>SAT Emplacement (468 SF concrete x 12" thick with Rebar) 8 per Range</t>
  </si>
  <si>
    <t>Trail Grading, Fine Grading for Roadways, Base Course 1913 SY</t>
  </si>
  <si>
    <t xml:space="preserve">Concrete Pad, 40 FT x 40 FT,  8" reinforced </t>
  </si>
  <si>
    <t>Attack Helicopter Weapons Range</t>
  </si>
  <si>
    <t>TC 25-8 Standard Size / Aerial Gunnery Range  (AGR)</t>
  </si>
  <si>
    <t xml:space="preserve">AGR = 50 SATs / 8 MATs / 246 SITs / 35 MITs </t>
  </si>
  <si>
    <t>SIT Emplacement (62 SF concrete x 8" thick with Rebar), 246 per range</t>
  </si>
  <si>
    <t>Service Switchgear, 100 Amps, Light Commercial (SITs)</t>
  </si>
  <si>
    <t>Circuit Breaker, 240-480 Volts, 20-60 Amps (SITs)</t>
  </si>
  <si>
    <t>SAT Emplacement (468 SF concrete x 12" thick w/Rebar) 50 per range</t>
  </si>
  <si>
    <t>Service Switchgear, 200 Amps, Light Commercial (SATs, MATs, &amp; MITs)</t>
  </si>
  <si>
    <t>Trolleyway, 1 Ton, 656 LF / MAT  49 FT /MIT</t>
  </si>
  <si>
    <t>Trail Grading, Fine Grading for Roadways, Base Course 10,525 SY</t>
  </si>
  <si>
    <t>Total Berm, 2540 M x 2 M x 1 M = 6644 CY; Backfill &amp; compaction</t>
  </si>
  <si>
    <t>Bank run gravel, Spread, 1569 CY per Range</t>
  </si>
  <si>
    <t>Urban Cluster / Bank Barn, 2 Story (20' x 20'), Class D, Low Cost x 13 Buildings (Use Class C multiplier)</t>
  </si>
  <si>
    <t>Air Defense Range</t>
  </si>
  <si>
    <t>TC 25-8 Standard Size / Air Defense Firing Range</t>
  </si>
  <si>
    <t>Vehicle Battle Position - Defilade (481 SF concrete x 12" thick with Rebar)</t>
  </si>
  <si>
    <t>Berm, 90 M x 2 M x 3 M = 706 CY, Backfill &amp; compaction</t>
  </si>
  <si>
    <t xml:space="preserve">Unenclosed Fire Fighter Trainer Facility </t>
  </si>
  <si>
    <t>Stormwater drainage pond, 1/8 AC</t>
  </si>
  <si>
    <t xml:space="preserve">No UFC requirement exists for the incorporation of overhead cranes.
</t>
  </si>
  <si>
    <t xml:space="preserve">No UFC criteria exist for component material. </t>
  </si>
  <si>
    <t>Urban Combat Training Area, Non-Fire</t>
  </si>
  <si>
    <t>Urban Cluster (Bank Barn, 2-Story - Special Purpose), 30 FT x 30 FT), Class D, Low Cost x 4 Buildings</t>
  </si>
  <si>
    <t>Structure, Reinforced concrete (Armory, Class CDS) 12 EA, 1800 SF</t>
  </si>
  <si>
    <t>EA per SF</t>
  </si>
  <si>
    <t>Underground Wiring, 2", plastic duct, plus excavation and backfill, 2,400 LF total</t>
  </si>
  <si>
    <t>LF per SF</t>
  </si>
  <si>
    <t>8" Thick Reinforced Concrete Roadway, 2,200 SY</t>
  </si>
  <si>
    <t>SY per SF</t>
  </si>
  <si>
    <t>Road, Asphalt, 3" thick, 1500 SY</t>
  </si>
  <si>
    <t>Utility tunnel, 3"-5" wall, medium soil, 5 FT x 7 FT cross-section, 504 LF</t>
  </si>
  <si>
    <t>Machine gun bunker (144 SF concrete x 8" w/rebar), 4 EA</t>
  </si>
  <si>
    <t>Bank run gravel, Spread, 4,622 CY per Range</t>
  </si>
  <si>
    <t>CY per SF</t>
  </si>
  <si>
    <t>Backfill &amp; compaction, 2,020 CY</t>
  </si>
  <si>
    <t>Hand Grenade Range, Non-Firing</t>
  </si>
  <si>
    <t>TC 25-8 Standard Size / Hand Grenade Qualification Course</t>
  </si>
  <si>
    <t>2-man fighting position (104 SF concrete x 8" with Rebar)</t>
  </si>
  <si>
    <t>Machine gun bunker (144 SF concrete x 8" with Rebar), 2 per FP</t>
  </si>
  <si>
    <t>Target Berm, 1 M x 1 M x 2 M (2.6 CY), 4 targets/lane, Backfill &amp; Compaction, 12" Layers</t>
  </si>
  <si>
    <t>Berm, 40 M x 1 M x 2 M = 104 CY, Backfill &amp; Compaction, 12" Layers</t>
  </si>
  <si>
    <t>Bank Run Gravel, Spread, 104 CY per berm</t>
  </si>
  <si>
    <t>Infiltration Course, Live Fire</t>
  </si>
  <si>
    <t>TC 25-8 Standard Size / Infiltration Course</t>
  </si>
  <si>
    <t xml:space="preserve">Blast Wall 360 M (360 M x 2 M = 7,750 SF), 12" concrete wall </t>
  </si>
  <si>
    <t>Machine gun bunker (144 SF concrete x 8" with rebar), 3 per Range</t>
  </si>
  <si>
    <t>Total Berm, 360 M x 2 M x 2 M = 1,883 CY / Backfill &amp; compaction</t>
  </si>
  <si>
    <t>Bank run gravel, Spread, 205 CY per Range</t>
  </si>
  <si>
    <t>Confidence/Obstacle Course</t>
  </si>
  <si>
    <t>Source:</t>
  </si>
  <si>
    <t>Component</t>
  </si>
  <si>
    <t>Cost</t>
  </si>
  <si>
    <t>Cut/fill/compact: track between obstacles, medium earth = 17 * 30 YD x 6 YD = 3,060 SY * 2/3 YD average depth = 2,040 CY</t>
  </si>
  <si>
    <t xml:space="preserve">CY </t>
  </si>
  <si>
    <t>Soil preparation, Fine grading running track, Average</t>
  </si>
  <si>
    <t>SY to SF</t>
  </si>
  <si>
    <t>Stabilize running track, geotextile fabric</t>
  </si>
  <si>
    <t>Mulch, running track, Average</t>
  </si>
  <si>
    <t>51/7</t>
  </si>
  <si>
    <t>18 stations, wood pole frames, 12"- 14", average of 4 EA, 20 FT = 1,440 LF each station</t>
  </si>
  <si>
    <t>18 stations, wood beams and columns, 4"x4", average of 14 each, 10 FT, 2,520 LF each station</t>
  </si>
  <si>
    <t>Note:  Layout of obstacle course from FM 7-22, "Army Physical Readiness Training," October 2020; and AFI 36-2202, "Air Force Obstacle Course Program," 07 August 2007.</t>
  </si>
  <si>
    <t>Aircraft Maintenance Hangar</t>
  </si>
  <si>
    <t>Maintenance Hangars: General Purpose, Low-Mid Bay, Up to 40 FT  High</t>
  </si>
  <si>
    <t>Aircraft Maintenance Shop</t>
  </si>
  <si>
    <t>14/14</t>
  </si>
  <si>
    <t>14/16</t>
  </si>
  <si>
    <t>53/12</t>
  </si>
  <si>
    <t>• M&amp;S Selection Business Rule
• Elevator Business Rule
• Fire Sprinkler Business Rule
• Overhead Crane Business Rule
• MILCON Cost Premium Business Rule</t>
  </si>
  <si>
    <t>Aircraft Corrosion Control Hangar</t>
  </si>
  <si>
    <t>Maintenance Hangars: Aircraft Corrosion Control Maintenance</t>
  </si>
  <si>
    <t>Aircraft Engine Test Building</t>
  </si>
  <si>
    <t>Aircraft Engine Test facility</t>
  </si>
  <si>
    <t>Aircraft Maintenance Hangar, Depot</t>
  </si>
  <si>
    <t xml:space="preserve">Maintenance Hangars: High Bay Maintenance - Large, Over 40 FT High (&gt; 100,000 SF) </t>
  </si>
  <si>
    <t>Aircraft Maintenance Shop, Depot</t>
  </si>
  <si>
    <t>USACE PAX Newsletter 3.2.2, 24 July 2014</t>
  </si>
  <si>
    <t>Aircraft Engine Test Facility</t>
  </si>
  <si>
    <t>USACE PAX Newsletter 3.2.2, 4 January 2011</t>
  </si>
  <si>
    <t>Missile Maintenance &amp; Assembly Building</t>
  </si>
  <si>
    <t>Extended Cost</t>
  </si>
  <si>
    <t>14/15</t>
  </si>
  <si>
    <t>Industrial, Heavy (Process) Manufacturing, Class A, Average, including craneway, HVAC and elevator  (Deduct $2.51 / SF for no included elevator)</t>
  </si>
  <si>
    <t>Add 15% for Hazard occupancy sprinkler</t>
  </si>
  <si>
    <t>Add Early Suppression Fast Response (ESFR) sprinkler and pump</t>
  </si>
  <si>
    <t>Bridge Crane, 10 ton, span = 75 ft</t>
  </si>
  <si>
    <t>per UM</t>
  </si>
  <si>
    <t>Overhead door, rollup, 2 doors, 9' X 9' door (81 SF)</t>
  </si>
  <si>
    <t>SF / door</t>
  </si>
  <si>
    <t>for 2 doors</t>
  </si>
  <si>
    <t>Door electric operation, 2 doors</t>
  </si>
  <si>
    <t>per door</t>
  </si>
  <si>
    <t>Dock seal, 10" projection</t>
  </si>
  <si>
    <t xml:space="preserve">An overhead crane is provided, applying the Overhead Crane Business Rule.  </t>
  </si>
  <si>
    <t>UFC 3-101-01, "Architecture," 16 December 2020, with Change 1, 5 January 2021.
UFC 4-200-xx (Series), "Maintenance and Production Facilities," various dates.
Commercial Real Estate Development Association, NAIOP Research Foundation, “NAIOP Terms and Definitions;" https://www.naiop.org/en/Research/Terms-and-Definitions.
UFGS-11 13 19.13, "Loading Dock Levelers," 01 August 2009</t>
  </si>
  <si>
    <t>Missile Launcher Maintenance Support Facility</t>
  </si>
  <si>
    <t>SF door</t>
  </si>
  <si>
    <t>Dock bumpers, 10 LF / door</t>
  </si>
  <si>
    <t>per LF per UM</t>
  </si>
  <si>
    <t>Dock leveler, hydraulic, 2 EA</t>
  </si>
  <si>
    <t>Dock seal, 10" projection, 2 EA</t>
  </si>
  <si>
    <t>Dock shelter, 2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</si>
  <si>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</si>
  <si>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A, Average Quality.
</t>
  </si>
  <si>
    <t xml:space="preserve">The average area for this FAC is 11,147 SF in the 2020 RPAD.
The Occupancy Group assigned is H, Hazard.
</t>
  </si>
  <si>
    <t xml:space="preserve">International Building Code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</si>
  <si>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1.1 yielding 0 elevators for the maximum number of occupants applying  the Elevator Business Rule.  
</t>
  </si>
  <si>
    <t>Missile Test Tower</t>
  </si>
  <si>
    <t>Design Footprint</t>
  </si>
  <si>
    <t>100' Tower, Self Supporting, High Cost</t>
  </si>
  <si>
    <t xml:space="preserve">Concrete, 12", bar reinforced </t>
  </si>
  <si>
    <t>Trolleyway, 7.5 Tons, High Cost; Assume 100' track</t>
  </si>
  <si>
    <t xml:space="preserve">Trolley, Geared, 7.5 Tons, High Cost </t>
  </si>
  <si>
    <t>Missile Maintenance/Assembly Building, Depot</t>
  </si>
  <si>
    <t>Industrial, Heavy (Process) Manufacturing, Class A, Average, including craneway, HVAC and elevator (Deduct $2.51 for no included elevator)</t>
  </si>
  <si>
    <t>Sprinkler, 30,000 SF, Dry System, Average</t>
  </si>
  <si>
    <t>Bridge Crane, 10 ton, span = 75 ft, 2 EA</t>
  </si>
  <si>
    <t>Overhead door, rollup, 4 doors, 9' X 9' door (81 SF)</t>
  </si>
  <si>
    <t>Door electric operation, 4 doors</t>
  </si>
  <si>
    <t>Dock bumpers, 10 LF/door</t>
  </si>
  <si>
    <t>for 4 doors</t>
  </si>
  <si>
    <t>Dock leveler, hydraulic, 4 EA</t>
  </si>
  <si>
    <t>Dock seal, 10" projection, 4 EA</t>
  </si>
  <si>
    <t>Dock shelter, 4 EA</t>
  </si>
  <si>
    <t>Intercontinental Ballistic Missile Processing Facility</t>
  </si>
  <si>
    <t>Industrials, Heavy (Process) Manufacturing, Class A, Average, including craneway, HVAC and elevator (Deduct $2.51 for no included elevator)</t>
  </si>
  <si>
    <t>Bridge Crane, 10 ton, span = 75 ft (2 EA)</t>
  </si>
  <si>
    <t>Overhead door, rollup, 4 doors, 9' X 9' door</t>
  </si>
  <si>
    <t>Dock bumpers, Horizontal, 10 LF, 4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</si>
  <si>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</si>
  <si>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M&amp;S Selection Business Rule, the FAC is Marshall &amp; Swift Class A, Average Quality.
</t>
  </si>
  <si>
    <t xml:space="preserve">The average area for this FAC is 33,754 SF.
The Occupancy Group assigned is H, High Hazard.
</t>
  </si>
  <si>
    <t xml:space="preserve">International Building Code (IBC)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</si>
  <si>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warehouse(1 dock per 7,500 SF of floor space.    For this FAC, 2 loading dock assemblies are provided.   The guide specification for design of a loading dock is contained in the Unified Facilities Guide Specification (UFGS). 
The average number of floors is 1.26 yielding  0 elevator for the maximum number of occupants applying  the Elevator Business Rule.  
Since the Marshall and Swift building selected for this FAC includes elevators as part of the unit price, the elevator must be deducted from the unit price.
</t>
  </si>
  <si>
    <t>An overhead crane is provided, applying the Overhead Crane Business Rule.  Two craneways are included in the building's unit cost.</t>
  </si>
  <si>
    <t>Graving Dry-dock</t>
  </si>
  <si>
    <t>FY11 Study for CNIC</t>
  </si>
  <si>
    <t>Ship Maintenance Dry-dock</t>
  </si>
  <si>
    <t>2021 RPCS changed FAC title from Shipping Maintenance Dry-dock to Graving Dry-dock.</t>
  </si>
  <si>
    <t xml:space="preserve">PUC is based upon a study conducted for Commander, Naval Installations Command (CNIC) in FY 2011, which appears below in full.    </t>
  </si>
  <si>
    <t>Marine Railway</t>
  </si>
  <si>
    <t>Marine Maintenance Shop</t>
  </si>
  <si>
    <t>Maintenance Shops: Installation Maintenance, General Purpose</t>
  </si>
  <si>
    <t>Marine Maintenance Support Facility</t>
  </si>
  <si>
    <t>Sprinkler, 15,000 SF, Dry System, Average</t>
  </si>
  <si>
    <t>Bridge Crane, 10 Ton, Span = 75 FT</t>
  </si>
  <si>
    <t>Loading dock (Shipping Dock),Structural Steel or concrete piers and frame, good lighting, 2 EA @ 144 SF</t>
  </si>
  <si>
    <t>Landing Craft Wash Facility</t>
  </si>
  <si>
    <t>Surety Repair Shop</t>
  </si>
  <si>
    <t>Set Equal to FAC 2121</t>
  </si>
  <si>
    <t>FAC 2121 PUC</t>
  </si>
  <si>
    <t>Ship Propulsion Maintenance Facility</t>
  </si>
  <si>
    <t>Fixed Crane Structure</t>
  </si>
  <si>
    <t>Vehicle Maintenance Shop</t>
  </si>
  <si>
    <t>Maintenance Shops: Military Vehicle Maintenance, Small
(&lt; 21,000 SF)</t>
  </si>
  <si>
    <t>Vehicle Maintenance Shop, Depot</t>
  </si>
  <si>
    <t>Maintenance Shops: Military Vehicle Maintenance, Large
(&gt; 21,000 SF)</t>
  </si>
  <si>
    <t>Vehicle Maintenance Shop, National Guard</t>
  </si>
  <si>
    <t>Vehicle Maintenance Shop, Reserve</t>
  </si>
  <si>
    <t>Vehicle Maintenance Facility</t>
  </si>
  <si>
    <t>Launch Vehicle Test Facility</t>
  </si>
  <si>
    <t>Vehicle Maintenance Shed</t>
  </si>
  <si>
    <t>POL Storage Bldg. - Tactical Equipment Maintenance Facility (TEMF)</t>
  </si>
  <si>
    <t xml:space="preserve">Hazardous Waste Storage Bldg. - Tactical Equipment Maintenance Facility (TEMF) </t>
  </si>
  <si>
    <t>Weapon Maintenance Shop</t>
  </si>
  <si>
    <t>Weapon Maintenance Shop, Depot</t>
  </si>
  <si>
    <t>Sprinkler Early Suppression Fast Response system and pump</t>
  </si>
  <si>
    <t>Special Weapons Maintenance Shop</t>
  </si>
  <si>
    <t>Set equal to FAC 2121</t>
  </si>
  <si>
    <t xml:space="preserve">SF  </t>
  </si>
  <si>
    <t>Weapon Maintenance Facility Depot</t>
  </si>
  <si>
    <t>Bridge Crane, 50' span, 10 Ton capacity, 1 EA</t>
  </si>
  <si>
    <t>SF Conversion</t>
  </si>
  <si>
    <t>Ammunition Maintenance Shop</t>
  </si>
  <si>
    <t>Bridge Crane, 50' span, 5 Ton capacity, 1 EA</t>
  </si>
  <si>
    <t>2 EA</t>
  </si>
  <si>
    <t>SF of dock</t>
  </si>
  <si>
    <t xml:space="preserve">Hazard occupancy sprinkler (Add 15% of system unit cost) </t>
  </si>
  <si>
    <t>Ammunition Maintenance Shop, Depot</t>
  </si>
  <si>
    <t>Sprinkler, 5,000 SF, Wet System, Average</t>
  </si>
  <si>
    <t>Ammunition Maintenance Facility,  Depot</t>
  </si>
  <si>
    <t>Bridge Crane, 75' span, 10 Ton capacity, 2 EA</t>
  </si>
  <si>
    <t>Sprinkler, 50,000 SF, Wet System, Good</t>
  </si>
  <si>
    <t>Electronic and Communication Maintenance Shop</t>
  </si>
  <si>
    <t>Inflation Adjustment 
by MILCON Index</t>
  </si>
  <si>
    <t>Electronics Maintenance Shop - Depot Level</t>
  </si>
  <si>
    <t>Electronic and Communication Maintenance Shop, Depot</t>
  </si>
  <si>
    <t>Electronic and Communication Maintenance Facility</t>
  </si>
  <si>
    <t>Triangular Guyed Tower, 54" Master TV systems, High Cost</t>
  </si>
  <si>
    <t>FT to EA</t>
  </si>
  <si>
    <t>22 of 25 assets in the 2020 RPAD inventory are antenna testing and  collimation testing facilities.</t>
  </si>
  <si>
    <t>Installation Support Vehicle Maintenance Shop</t>
  </si>
  <si>
    <t>Installation Support Equipment Maintenance Shop</t>
  </si>
  <si>
    <t>Railroad Equipment Shop</t>
  </si>
  <si>
    <t>Parachute And Dinghy Maintenance Shop</t>
  </si>
  <si>
    <t>Table 2, UFC 3-701-1, March 2013</t>
  </si>
  <si>
    <t xml:space="preserve">Maintenance Shops: Parachute And Dinghy Maintenance </t>
  </si>
  <si>
    <t>Installation Support Equipment Maintenance Shed</t>
  </si>
  <si>
    <t>Organizational Storage Building</t>
  </si>
  <si>
    <t>Facility Engineer Maintenance Shop</t>
  </si>
  <si>
    <t>Facility Engineer Maintenance Facility</t>
  </si>
  <si>
    <t>Aircraft Production Plant</t>
  </si>
  <si>
    <t>Bridge Crane, 10 ton, span = 100 ft, 2 EA</t>
  </si>
  <si>
    <t>Overhead door, electrical operator, 12 EA</t>
  </si>
  <si>
    <t>LF per UM</t>
  </si>
  <si>
    <t xml:space="preserve"> Aircraft Production Structure</t>
  </si>
  <si>
    <t xml:space="preserve">Industrials, Heavy (Process) Manufacturing, Class C Mill, Average </t>
  </si>
  <si>
    <t>Sprinkler, Wet System, 2,500 SF, Average</t>
  </si>
  <si>
    <t>Missile Production Plant</t>
  </si>
  <si>
    <t>Bridge Crane, 10 Ton, 1 EA, Span = 75 ft</t>
  </si>
  <si>
    <t>Ship Production Plant</t>
  </si>
  <si>
    <t>Bridge Crane, 10 Ton, 2 EA, Span = 100 ft</t>
  </si>
  <si>
    <t>Sprinkler, Dry System, 50,000 SF, Average</t>
  </si>
  <si>
    <t>Note: crane bay dimension assumed aspect ratio 1:2: 115 FT x 230 FT</t>
  </si>
  <si>
    <t>Tank/Automotive Production Plant</t>
  </si>
  <si>
    <t>Sprinkler, Dry System, 60,000 SF, Average</t>
  </si>
  <si>
    <t>Tank/Automotive Production Structure</t>
  </si>
  <si>
    <t>2021 RPCS changed the FAC Title from Tank/Automotive Production Facility; no assets in the 2020 RPAD</t>
  </si>
  <si>
    <t>Weapon Production Plant</t>
  </si>
  <si>
    <t>Craneway electrical conductor assembly</t>
  </si>
  <si>
    <t>Weapon Production Structure</t>
  </si>
  <si>
    <t>Sprinkler, Wet System, 40,000 SF, Good</t>
  </si>
  <si>
    <t>Ammunition Production Plant</t>
  </si>
  <si>
    <t>Sprinkler, Dry System, 10,000 SF, Average</t>
  </si>
  <si>
    <t>Ammunition Production Facility</t>
  </si>
  <si>
    <t>Ammunition Demilitarization Plant</t>
  </si>
  <si>
    <t>Ammunition Demilitarization Facility</t>
  </si>
  <si>
    <t>Fine Grading for Small Irregular Areas, To 15,000 SY</t>
  </si>
  <si>
    <t>Bank Run Gravel, Spread with 200 HP Dozer, no Compaction, 8" lift</t>
  </si>
  <si>
    <t>Electronic and Communication Production Plant</t>
  </si>
  <si>
    <t>Miscellaneous Support Production Plant</t>
  </si>
  <si>
    <t>Bridge Crane, 10 Ton capacity, 50 FT span, 1 EA</t>
  </si>
  <si>
    <t>Craneway, 144 LF x 2 = 288 LF</t>
  </si>
  <si>
    <t>Construction Material Production Structure</t>
  </si>
  <si>
    <t>Marshall and Swift Valuation, October 2017</t>
  </si>
  <si>
    <t>Inflation Adjustment - MILCON Index</t>
  </si>
  <si>
    <t>14/41</t>
  </si>
  <si>
    <t>Asphalt Plant, assume 180 tons / hour (TH) production rate (Class Average)</t>
  </si>
  <si>
    <t>TH</t>
  </si>
  <si>
    <t>RDT&amp;E Laboratory</t>
  </si>
  <si>
    <t>Laboratory  Building, Class A/B, Average, with complete HVAC, including elevator</t>
  </si>
  <si>
    <t>HVAC for Labs, Moderate Climate, Average</t>
  </si>
  <si>
    <t>Sprinkler, Dry System, 20,000 SF, Average</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</si>
  <si>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</si>
  <si>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Medical Research Laboratory</t>
  </si>
  <si>
    <t>Fume hood air &amp; ventilation</t>
  </si>
  <si>
    <t>Sprinkler, Dry System, 40,000 SF, Average</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</si>
  <si>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</si>
  <si>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The average area for this FAC is 35,389 SF
IBC Group B
</t>
  </si>
  <si>
    <t xml:space="preserve">• UFC 1-200-01 and UFC 3-600-01 require compliance with the IBC.  
• IBC Group B
•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</si>
  <si>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Elevators are included in the Marshall and Swift basic valuation for a laboratory building, Class B, average, representing this FAC.
</t>
  </si>
  <si>
    <t xml:space="preserve">No UFC criteria exist for component material, other than those consistent with fire safety noted above in building construction material.
</t>
  </si>
  <si>
    <t>Biosafety Level 3 Laboratory</t>
  </si>
  <si>
    <t>Laboratory  Building, Class A/B, Average, with complete HVAC, including elevator (Deduct $2.64 for no included elevator)</t>
  </si>
  <si>
    <t xml:space="preserve">Fume Hood air &amp; ventilation </t>
  </si>
  <si>
    <t>52/6</t>
  </si>
  <si>
    <t>Clean Room, 100-10 microns, prefabricated hardwall,  400 SF;   Assume 6 clean rooms</t>
  </si>
  <si>
    <t>Biosafety Level 4 Laboratory</t>
  </si>
  <si>
    <t>Clean Room, 100-10 microns, prefabricated hardwall, 300 SF;   Assume 1 clean room</t>
  </si>
  <si>
    <t>Sprinkler, Dry System, 2500 SF, Average</t>
  </si>
  <si>
    <t>There is one (1) asset for FAC 3104 in the 2020 RPAD.</t>
  </si>
  <si>
    <t>Aircraft RDT&amp;E Facility</t>
  </si>
  <si>
    <t>Chemistry Lab (USACE PAX Newsletter, 20 March 2009)</t>
  </si>
  <si>
    <t>Aircraft Engine Test Facility (USACE PAX Newsletter, 04 January 2011)</t>
  </si>
  <si>
    <t>Missile and Space RDT&amp;E Facility</t>
  </si>
  <si>
    <t>Missile Maintenance Facility (USACE PAX Newsletter, 20 March 2009)</t>
  </si>
  <si>
    <t>Ship and Marine RDT&amp;E Facility</t>
  </si>
  <si>
    <t>Industrial, Engineering (Research &amp; Development) Building, Class B, Average, including elevator</t>
  </si>
  <si>
    <t>Bridge Crane, 10 ton, span = 75 LF, 2 EA</t>
  </si>
  <si>
    <t>Craneway, 200 LF x 2 = 400 LF</t>
  </si>
  <si>
    <t>Overhead door, roll-up, 9'x9' door, 81 SF/door, 3 EA</t>
  </si>
  <si>
    <t>Overhead door electric operator, 3 EA</t>
  </si>
  <si>
    <t>Dock bumpers, 10 LF, 3 EA</t>
  </si>
  <si>
    <t>Dock leveler, hydraulic, 3 EA</t>
  </si>
  <si>
    <t>Dock seal, 10" projection, 3 EA</t>
  </si>
  <si>
    <t>Dock shelter, 3 EA</t>
  </si>
  <si>
    <t xml:space="preserve">Unified Facilities Criteria (UFC) for Multi-Disciplinary and Facility Specific Design (3-101-01 Architecture; and 4-300 RDT&amp;E Facilities  do not provide guidance for this FAC.   
</t>
  </si>
  <si>
    <t xml:space="preserve">No UFC criteria exist for component material.  
Applying the Marshall and Swift Selection Business Rule, the FAC is  Marshall &amp; Swift Class B, Average Quality.
</t>
  </si>
  <si>
    <t xml:space="preserve">The average area for this FAC is 23,353 SF.
The Occupancy Group assigned is B, Business.
</t>
  </si>
  <si>
    <t xml:space="preserve">International Building Code Group B
A fire sprinkler has been incorporated, applying the Fire Sprinkler Business Rule.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</si>
  <si>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3 loading dock assemblies are provided.   
The guide specification for design of a loading dock is contained in the Unified Facilities Guide Specification (UFGS) . 
The average number of floors above ground is 1.63 yielding 1 elevator for the maximum number of occupants applying  the Elevator Business Rule.  
The Marshall and Swift building selected for this FAC includes elevators as part of the unit price.
</t>
  </si>
  <si>
    <t>An overhead crane is provided, applying the Overhead Crane Business Rule.  A craneway is not included in the building's unit cost.</t>
  </si>
  <si>
    <t>Tank and Automotive RDT&amp;E Facility</t>
  </si>
  <si>
    <t>Industrial, Engineering (Research &amp; Development) Building, Class B, Average, including elevator (Deduct $2.48/SF for no included elevator)</t>
  </si>
  <si>
    <t>Bridge Crane, 10 ton, span = 75 LF</t>
  </si>
  <si>
    <t>Craneway, 175 LF x 2 = 350 LF</t>
  </si>
  <si>
    <t>Overhead door, roll-up, 9 FT x 9 FT door, 81 SF/door</t>
  </si>
  <si>
    <t>Overhead door electric operator</t>
  </si>
  <si>
    <t>Dock bumpers, 10 lf, 3 EA</t>
  </si>
  <si>
    <t>Weapons RDT&amp;E Facility</t>
  </si>
  <si>
    <t>Extended Price</t>
  </si>
  <si>
    <t>Bridge Crane, 10 Ton, 1 EA, Span = 50 FT</t>
  </si>
  <si>
    <t>Craneway, 10 Ton, 75 LF x 2 = 150 LF</t>
  </si>
  <si>
    <t>LF to UM</t>
  </si>
  <si>
    <t>Ammunition, Explosive and Toxic RDT&amp;E Facility</t>
  </si>
  <si>
    <t>Electronic and Communication RDT&amp;E Facility</t>
  </si>
  <si>
    <t>Overhead door, roll-up, 81 SF/door</t>
  </si>
  <si>
    <t>Propulsion RDT&amp;E Facility</t>
  </si>
  <si>
    <t>RPAD Average  Size</t>
  </si>
  <si>
    <t>Sprinkler, Wet System, 10,000 SF, Average</t>
  </si>
  <si>
    <t>Miscellaneous Item and Equipment RDT&amp;E Facility</t>
  </si>
  <si>
    <t>Dock leveler, hydraulic, 1 EA</t>
  </si>
  <si>
    <t>Dock seal, 10" projection, 1 EA</t>
  </si>
  <si>
    <t>Dock shelter, 1 EA</t>
  </si>
  <si>
    <t>One overhead crane is provided, applying the Overhead Crane Business Rule.  A craneway is not included in the building's unit cost.</t>
  </si>
  <si>
    <t>Underwater RDT&amp;E Facility</t>
  </si>
  <si>
    <t>Bridge crane, 10 Ton, 50 FT span</t>
  </si>
  <si>
    <t>Craneway, 10 Ton, 100 FT x 2 = 200 FT</t>
  </si>
  <si>
    <t>Craneway electrical conductor assembly, 200 LF</t>
  </si>
  <si>
    <t>Dock bumpers, 10 LF,  1EA</t>
  </si>
  <si>
    <t xml:space="preserve">Unified Facilities Criteria (UFC) for Multi-Disciplinary and Facility Specific Design (UFC 3-101-01, Architecture; and UFC 4-300 (series), Research, Development, Test, &amp; Evaluation (RDT&amp;E Facilities)), do not provide guidance for this FAC.   
</t>
  </si>
  <si>
    <t xml:space="preserve">No UFC criteria exist for component material.  
Applying the Marshall and Swift Selection Business Rule, the FAC is MVG RDT&amp;E Building. Class B, Average Quality.
</t>
  </si>
  <si>
    <t xml:space="preserve">The average area for this FAC is 10,205 SF.
The Occupancy Group assigned is B, Business.
</t>
  </si>
  <si>
    <t xml:space="preserve">International Building Code Group B.  A  fire sprinkler has been incorporated.
</t>
  </si>
  <si>
    <t>RDT&amp;E Technical Service Facility</t>
  </si>
  <si>
    <t xml:space="preserve"> Set Equal to FAC 3101</t>
  </si>
  <si>
    <t>FAC 3101</t>
  </si>
  <si>
    <t>RDT&amp;E Range Building</t>
  </si>
  <si>
    <t>Range Classroom Building</t>
  </si>
  <si>
    <t xml:space="preserve">Mission Command Training Center </t>
  </si>
  <si>
    <t>RDT&amp;E Range Facility</t>
  </si>
  <si>
    <t>Underground Administrative Facility (USACE PAX Newsletter, 20 March 2009)</t>
  </si>
  <si>
    <t>FAC 1321</t>
  </si>
  <si>
    <t>RDT&amp;E Range Complex</t>
  </si>
  <si>
    <t>Combined ROC/AAR-Digital Range (USACE PAX Newsletter, 04 January 2011)</t>
  </si>
  <si>
    <t>Underground Administrative Facility (USACE PAX Newsletter, 20 Mar 2009)</t>
  </si>
  <si>
    <t>Miscellaneous RDT&amp;E Facility</t>
  </si>
  <si>
    <t xml:space="preserve"> Set Equal to FAC 3712</t>
  </si>
  <si>
    <t>FAC 3712</t>
  </si>
  <si>
    <t>RDT&amp;E Area</t>
  </si>
  <si>
    <t>Aerodynamic Wind Tunnel</t>
  </si>
  <si>
    <t>Cost from Contract award 47PD0321C0004; construction of Flight Dynamics Research Facility, NASA Langley Research Center, Hampton, VA; September 2021</t>
  </si>
  <si>
    <t>Propulsion Engine Test Cell</t>
  </si>
  <si>
    <t>MILCON</t>
  </si>
  <si>
    <t>Engine Test Cell</t>
  </si>
  <si>
    <t>NA</t>
  </si>
  <si>
    <t>Military Cost Premium not applied as cost derived from MILCON</t>
  </si>
  <si>
    <t xml:space="preserve">Bulk Liquid Fuel Storage </t>
  </si>
  <si>
    <t>BL</t>
  </si>
  <si>
    <t>PACES 1.4</t>
  </si>
  <si>
    <t>G3060032505</t>
  </si>
  <si>
    <t>Tank, 6558200 L (55000 bbl), Vertical Abv Grd Tank</t>
  </si>
  <si>
    <t xml:space="preserve">Large Bulk Liquid Fuel Storage </t>
  </si>
  <si>
    <t>Cut-and-Cover Bulk Liquid Fuel Storage</t>
  </si>
  <si>
    <t>G3060032007</t>
  </si>
  <si>
    <t>Earthwork, Cut And Covered Tank</t>
  </si>
  <si>
    <t>G3060032107</t>
  </si>
  <si>
    <t>Concrete, Cut And Covered Tank</t>
  </si>
  <si>
    <t>G3060032207</t>
  </si>
  <si>
    <t>Pipes And Fittings, Cut And Covered Tank</t>
  </si>
  <si>
    <t>G3060032307</t>
  </si>
  <si>
    <t>Electrical, Cut And Covered Tank</t>
  </si>
  <si>
    <t>G3060032407</t>
  </si>
  <si>
    <t>Controls, Cut And Covered Tank</t>
  </si>
  <si>
    <t>G3060032583</t>
  </si>
  <si>
    <t>Tank, 7948000 L (50000 bbl) Cut And Cover</t>
  </si>
  <si>
    <t>Small Bulk Storage</t>
  </si>
  <si>
    <t>EA to GA</t>
  </si>
  <si>
    <t>53/10</t>
  </si>
  <si>
    <t>Bulk Liquid Storage, Other Than Fuel</t>
  </si>
  <si>
    <t>Liquid Oxygen Storage</t>
  </si>
  <si>
    <t>Ammunition Storage, Depot and Arsenal</t>
  </si>
  <si>
    <t>Ammunition Storage, Installation</t>
  </si>
  <si>
    <t>USACE PAX Newsletter 3.2.2, 30 May 2018</t>
  </si>
  <si>
    <t>Ammunition Storage Shed, Installation</t>
  </si>
  <si>
    <t>Storage Shed (Covered, not Enclosed)</t>
  </si>
  <si>
    <t>Liquid Propellant Storage, Ammunition Related</t>
  </si>
  <si>
    <t>Welded Steel Pressure Tank, 20,000 GA</t>
  </si>
  <si>
    <t>Battery Storage, Weapon Related</t>
  </si>
  <si>
    <t>Battery Shop</t>
  </si>
  <si>
    <t>Cold Storage Warehouse, w/o Processing</t>
  </si>
  <si>
    <t>Cold Storage, Depot</t>
  </si>
  <si>
    <t>14/24</t>
  </si>
  <si>
    <t>Cold Storage, Installation</t>
  </si>
  <si>
    <t>Covered Storage Building, Depot</t>
  </si>
  <si>
    <t>Table 2, UFC 3-701-1, 23 May 2018</t>
  </si>
  <si>
    <t>Warehouse/Storage Facilities: Storage Building - Large (&gt; 15,000 SF), High Bay (Stack Height &gt; 16 FT)</t>
  </si>
  <si>
    <t>Covered Storage Shed, Depot</t>
  </si>
  <si>
    <t>Hazardous Materials Storage, Depot</t>
  </si>
  <si>
    <t>Table 2, UFC 3-701-1, Change 5, October 2012</t>
  </si>
  <si>
    <t>Warehouse/Storage Facilities:  Hazardous / Flammable Storage</t>
  </si>
  <si>
    <t>Controlled Humidity Storage, Depot</t>
  </si>
  <si>
    <t>Cold Storage Facility, Class A/B, Average, Moderate Climate HVAC</t>
  </si>
  <si>
    <t>Overhead door, roll-up, standard, 9'x9' doors @ 81 SF, 13 each</t>
  </si>
  <si>
    <t>SF total</t>
  </si>
  <si>
    <t>Dock bumper, horizontal, 10 FT length, each door</t>
  </si>
  <si>
    <t>Dock seal, 10- inch projection</t>
  </si>
  <si>
    <t xml:space="preserve">Unified Facilities Criteria (UFC) 4-440-01, "Warehouse and Storage Facilities,"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</si>
  <si>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This is consistent with the type of building selected using the M&amp;S Business Rule, the FAC is MVG Class B, Average Quality.  
</t>
  </si>
  <si>
    <t xml:space="preserve">The average area of this FAC is 21,481 SF, based on 374 records in the 2021 RPAD.
The International Building Code (IBC) Occupancy Group assigned is B, Business.
</t>
  </si>
  <si>
    <t xml:space="preserve">IBC Group B
UFC 4-440-01 requires compliance with the National Fire Protection Association (NFPA) 13  and UFC 3-600-01 .  UFC 3-600-01 refers the designer to the IBC.  The Fire Sprinkler Business Rule incorporates the requirements of NFPA, UFC 3-600-01 and the IBC.  Application of the Fire Sprinkler Business Rule requires a sprinkler system to be installed in this type of facility.
</t>
  </si>
  <si>
    <r>
      <t>Unified Facilities Criteria (UFC) 4-440-01 sets a requirement for loading docks.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t>
    </r>
    <r>
      <rPr>
        <i/>
        <sz val="11"/>
        <rFont val="Calibri"/>
        <family val="2"/>
        <scheme val="minor"/>
      </rPr>
      <t xml:space="preserve"> </t>
    </r>
    <r>
      <rPr>
        <sz val="11"/>
        <rFont val="Calibri"/>
        <family val="2"/>
        <scheme val="minor"/>
      </rPr>
      <t xml:space="preserve">For this FAC, 13 loading dock assemblies are provided.  An elevator is not provided as the average number of floors is 1.13; applying the Elevator Business Rule, no elevator is incorporated.   Unified Facilities Guide Specification (UFGS) 11 13 19.13, Loading Dock Levelers, applies.
</t>
    </r>
  </si>
  <si>
    <t xml:space="preserve">UFC 4-440-01 provides the criteria for component material.
</t>
  </si>
  <si>
    <t>Covered Storage Building, Installation</t>
  </si>
  <si>
    <t>Warehouse/Storage Facilities: General Purpose - Small (&lt; 15,000 SF), Low Bay (Stack Height &lt; 16 FT)</t>
  </si>
  <si>
    <t>Covered Storage Shed, Installation</t>
  </si>
  <si>
    <t>Storage Shed (Covered, not Enclosed), ORTC</t>
  </si>
  <si>
    <t>Hazardous Materials Storage, Installation</t>
  </si>
  <si>
    <t>Dock bumper, horizontal, 10 FT length each door</t>
  </si>
  <si>
    <t>Dock seal, 10-inch projection</t>
  </si>
  <si>
    <t>Vehicle Storage, Covered</t>
  </si>
  <si>
    <t>14/34</t>
  </si>
  <si>
    <t>Storage Garage, Class A-B, Average</t>
  </si>
  <si>
    <t>Storage Silo, Loose Material</t>
  </si>
  <si>
    <t>17/16</t>
  </si>
  <si>
    <t>Material Storage Building, Class S, Average</t>
  </si>
  <si>
    <t>Small Arms Storage, Installation</t>
  </si>
  <si>
    <t>Armory / Weapons Storage Facility</t>
  </si>
  <si>
    <t>Storage and Customer Issue</t>
  </si>
  <si>
    <t>13/28</t>
  </si>
  <si>
    <t>Discount Store, Class A-B, Average</t>
  </si>
  <si>
    <t>13/40</t>
  </si>
  <si>
    <t>Sprinkler, Wet System, 15,000 SF, Average</t>
  </si>
  <si>
    <t>Class B Facility selected for M&amp;S current cost and local multipliers</t>
  </si>
  <si>
    <t>Open Storage, Depot</t>
  </si>
  <si>
    <t>Open Storage, Installation</t>
  </si>
  <si>
    <t>Hospital</t>
  </si>
  <si>
    <t>Inpatient Hospital/Medical Center</t>
  </si>
  <si>
    <t>Varies</t>
  </si>
  <si>
    <t>Medical Laboratory</t>
  </si>
  <si>
    <t>Laboratory Building, Class A-B, Average, including elevators</t>
  </si>
  <si>
    <t>Overhead door, roll-up, standard, 9'x9' doors @ 81 SF, 1 each</t>
  </si>
  <si>
    <t xml:space="preserve">Unified Facilities Criteria (UFC) for Multi-Disciplinary and Facility Specific Design (4 Series) is not provided for this type of facility.  The only UFC in the 4-300 Series for Research, Development, Test and Evaluation (RDT&amp;E) facilities is 4-390-01, “O&amp;M: Unmanned Pressure Test Facilities Safety Certification Manual.”
</t>
  </si>
  <si>
    <t xml:space="preserve">No UFC criteria exist for component material.  The reference to MVG commercial and public utility/governmental utility buildings includes metal and masonry construction.  Selection of materials incorporated into the design must be consistent with the building use category  of UFC 1-200-01 , UFC 3-600-01  and the International Building Code (IBC).  
</t>
  </si>
  <si>
    <t xml:space="preserve">The average area for this FAC is 11,372 SF.  
IBC Business Group B
</t>
  </si>
  <si>
    <t xml:space="preserve">No UFC requirement exists for the incorporation of a loading dock
An elevator is provided in consonance with the Elevator Business Rules.  The type of Marshall and Swift building selected, Laboratory Building, Class B Average, includes elevators as part of the basic building valuation.
</t>
  </si>
  <si>
    <t>No UFC requirement exists for the incorporation of overhead cranes.  A craneway is not included in the building's unit cost.</t>
  </si>
  <si>
    <t>Morgue</t>
  </si>
  <si>
    <t>11/32</t>
  </si>
  <si>
    <t>Mortuary/Funeral Home, Class A-B, Average</t>
  </si>
  <si>
    <t>11/35</t>
  </si>
  <si>
    <t>Veterinary Facility</t>
  </si>
  <si>
    <t>Sprinkler, Wet System, 5,000 SF, Average</t>
  </si>
  <si>
    <t>Medical Warehouse</t>
  </si>
  <si>
    <t>Cold Storage Facility, Class A-B, Average</t>
  </si>
  <si>
    <t>HVAC, Controlled Atmosphere Environmental Buildings, Fruits-Conditioned Air, Moderate Climate</t>
  </si>
  <si>
    <t>Storage Garage, Class B, Average, including elevator</t>
  </si>
  <si>
    <t>Dental Facility</t>
  </si>
  <si>
    <t>Dental Clinic</t>
  </si>
  <si>
    <t>Dispensary And Clinic</t>
  </si>
  <si>
    <t>Medical Clinic (Small, Free Standing &lt; 60,000 SF)</t>
  </si>
  <si>
    <t>Ambulatory Care Clinic</t>
  </si>
  <si>
    <t>Table 2, UFC 3-701-1, Change 5, 3 February 2020</t>
  </si>
  <si>
    <t>Medical Clinic (Large, Free Standing &gt; 60,000 SF)</t>
  </si>
  <si>
    <t>General Administrative Building</t>
  </si>
  <si>
    <t>Administrative Facilities: Multi-Purpose Admin</t>
  </si>
  <si>
    <t>Small Unit Headquarters Building</t>
  </si>
  <si>
    <t>Headquarters/Operations Buildings: Company Level (Lowest Level)</t>
  </si>
  <si>
    <t>Large Unit Headquarters Building</t>
  </si>
  <si>
    <t>Printing And Reproduction Plant</t>
  </si>
  <si>
    <t>Industrial, Light Manufacturing, Class B, Average</t>
  </si>
  <si>
    <t>Automated Data Processing Center</t>
  </si>
  <si>
    <t>Pentagon</t>
  </si>
  <si>
    <t>Remote Delivery Facility</t>
  </si>
  <si>
    <t>Engineering/Housing Maintenance Shop</t>
  </si>
  <si>
    <t>15/17</t>
  </si>
  <si>
    <t>Office Building, Class A, Good, including elevators</t>
  </si>
  <si>
    <t>Multistory Premium; 1/2% for each story over 3 (Assumed number of stories = 16)</t>
  </si>
  <si>
    <t>Sprinkler, Wet System, 300,000 SF, Good</t>
  </si>
  <si>
    <t>Administrative Building, Underground</t>
  </si>
  <si>
    <t>USACE PAX Newsletter 3.2.2, 20 March 2009</t>
  </si>
  <si>
    <t>Underground Administrative Facility</t>
  </si>
  <si>
    <t>Alternate Joint Communications Center</t>
  </si>
  <si>
    <t>Communications Buildings:  Communications Facility</t>
  </si>
  <si>
    <t>Underground Administrative Facility (USACE PAX Newsletter 3.2.2, 20 March 2009)</t>
  </si>
  <si>
    <t>Administrative Structure, Other Than Buildings</t>
  </si>
  <si>
    <t>Flagpole, 50', Tapered Aluminum, Concrete Foundation</t>
  </si>
  <si>
    <t>66/5</t>
  </si>
  <si>
    <t>Scoreboard, Outdoor, &gt;75 SF</t>
  </si>
  <si>
    <t>64/3</t>
  </si>
  <si>
    <t>Poles for Scoreboard, 8 IN diameter, 15 FT, 2 EA</t>
  </si>
  <si>
    <t>Sub-total Scoreboard and Poles</t>
  </si>
  <si>
    <t>Average of Scoreboard and Flagpole</t>
  </si>
  <si>
    <t>Family Housing Dwelling</t>
  </si>
  <si>
    <t>Colonel/Captain, Grade O6</t>
  </si>
  <si>
    <t>Senior NCO, Grade E9, 3 Bedrooms</t>
  </si>
  <si>
    <t>Senior NCO, Grade E7&amp;E8, 3 Bedrooms</t>
  </si>
  <si>
    <t>Junior NCO/Enlisted, Grade E1 - E6, 4 Bedrooms</t>
  </si>
  <si>
    <t>Average Reference Size</t>
  </si>
  <si>
    <t>Family Housing High Rise Building</t>
  </si>
  <si>
    <t xml:space="preserve">Enlisted Family Housing - OCONUS </t>
  </si>
  <si>
    <t>Family Housing Individual Trailer Site</t>
  </si>
  <si>
    <t>Space Modifier
(40 Spaces)</t>
  </si>
  <si>
    <t>63/3</t>
  </si>
  <si>
    <t>Manufactured Housing Park, Average, including utilities, grading, engineering</t>
  </si>
  <si>
    <t>SPACE</t>
  </si>
  <si>
    <t>SPACE to SY</t>
  </si>
  <si>
    <t>Marshall and Swift design size for a Manufactured Housing Park site = 3,200 SF = 356 SY</t>
  </si>
  <si>
    <t>Family Housing Garage</t>
  </si>
  <si>
    <t>12/35</t>
  </si>
  <si>
    <t>Residential Garage, Detached, 600 SF, Class C, Average</t>
  </si>
  <si>
    <t>Family Housing Storage Facility</t>
  </si>
  <si>
    <t>63/10</t>
  </si>
  <si>
    <t>Storage Shed Building, Aluminum</t>
  </si>
  <si>
    <t xml:space="preserve">Concrete Slab, unreinforced, 100 SF </t>
  </si>
  <si>
    <t>Miscellaneous Family Housing Support Facility</t>
  </si>
  <si>
    <t>17/12</t>
  </si>
  <si>
    <t>Light Commercial Utility Building, Class C, Average</t>
  </si>
  <si>
    <t>Sprinkler, 2500 SF, Wet System, Average</t>
  </si>
  <si>
    <t>Trailer Court Support Facility</t>
  </si>
  <si>
    <t>Office Building, Class C, Average</t>
  </si>
  <si>
    <t>Sprinkler, 3,000 SF, Wet System, Average</t>
  </si>
  <si>
    <t>Family Housing Carport</t>
  </si>
  <si>
    <t>Carport, Steel</t>
  </si>
  <si>
    <t>Concrete Slab foundation, 200 SF</t>
  </si>
  <si>
    <t>Enlisted Unaccompanied Personnel Housing</t>
  </si>
  <si>
    <t>Unaccompanied Personnel Housing: Barracks/Dormitory (does not include kitchenette equipment)</t>
  </si>
  <si>
    <t>Enlisted Unaccompanied Personnel Housing, Transient</t>
  </si>
  <si>
    <t>Student Barracks</t>
  </si>
  <si>
    <t xml:space="preserve">Unaccompanied Personnel Housing:  Barracks - Student Dorms, Advance Training </t>
  </si>
  <si>
    <t>Annual Training/Mobilization Barracks</t>
  </si>
  <si>
    <t xml:space="preserve">Unaccompanied Personnel Housing: Barracks - Student Dorms, Advance Training </t>
  </si>
  <si>
    <t>Unaccompanied Housing for Wounded Warriors</t>
  </si>
  <si>
    <t>15/26</t>
  </si>
  <si>
    <t>Convalescent Hospital, Class B, Average, with Elevators</t>
  </si>
  <si>
    <t>Sprinkler, Wet System, average, 75,000 SF</t>
  </si>
  <si>
    <t>Overhead door, roll-up, 81 SF/door (9' X 9'), 2 EA</t>
  </si>
  <si>
    <t>Overhead door electrical operator</t>
  </si>
  <si>
    <t>Dock bumpers, horizontal, 10 LF/door</t>
  </si>
  <si>
    <t xml:space="preserve">Unified Facilities Criteria (UFC) for Multi-Disciplinary and Facility Specific Design (4 Series) is not provided for this type of facility.  
UFC 4-510-01, "Design: Military Medical Facilities," does not include guidance for Wounded Warrior housing.
</t>
  </si>
  <si>
    <t xml:space="preserve">No UFC criteria exist for component material.  
</t>
  </si>
  <si>
    <t xml:space="preserve">The average area for this FAC is 63,6780 SF.  
Classified as International Building Code (IBC) Group I (Institutional).
</t>
  </si>
  <si>
    <t xml:space="preserve">UFC 3-600-01 requires compliance with National Fire Protection Association (NFPA) 101 for institutional occupancies.  NFPA 101  requires new I-1  (Institutional occupancies), in which the FAC 7215 is categorized, to be fully sprinklered throughout.   This same requirement exists in the IBC, Section 903.2.6  governing Occupancy Group I (institutional).   
</t>
  </si>
  <si>
    <t xml:space="preserve">Four (4) elevators have been included in consonance with the Elevator Business Rule.
UFC 3-101-01 provides a limited reference to a loading dock as a space to be compartmentalized for fire and smoke control.  
UFC 4-510-01  refers to truck loading docks for fire protection, environmental controls, and lighting levels, but does not provide specific design guidance on the number to be provided.  Although no specific requirement exists, the numerous references in the related UFC 4-510-01 provide a basis for the incorporation of a minimum number of loading docks in the Replacement Unit Cost estimate. 
</t>
  </si>
  <si>
    <t xml:space="preserve">No UFC criteria exist for component material.   </t>
  </si>
  <si>
    <t>Recruit/Trainee Barracks</t>
  </si>
  <si>
    <t xml:space="preserve">Unaccompanied Personnel Housing:  Barracks - Student Dormitories, Advance Training </t>
  </si>
  <si>
    <t>Dining Facility</t>
  </si>
  <si>
    <t>Dining Facility, Enlisted Dining (includes kitchen equipment and installation)</t>
  </si>
  <si>
    <t>Miscellaneous UPH Support Building</t>
  </si>
  <si>
    <t>13/25</t>
  </si>
  <si>
    <t>Laundromat, Class C, Average</t>
  </si>
  <si>
    <t>11/14</t>
  </si>
  <si>
    <t>Average Unit cost</t>
  </si>
  <si>
    <t>Sprinkler, Wet System, Average, 3,000 SF</t>
  </si>
  <si>
    <t xml:space="preserve">FAC 7231 aggregates four (4) category codes for detached laundry and recreational/entertainment purposes (such as a dayroom/lounge).
Unified Facilities Criteria (UFC) 4-720-01 “Lodging Facilities," provides limited design criteria for guest laundry design features located within Table 5-23 of the UFC.
</t>
  </si>
  <si>
    <t xml:space="preserve">UFC 4-720-01 calls for epoxy painted gypsum board interior walls with tile floors and moisture resistant, acoustic ceiling tile.  
</t>
  </si>
  <si>
    <t xml:space="preserve">The average area for this FAC is 3,329 SF. 
International Building Code Occupancy Group B (Business). 
</t>
  </si>
  <si>
    <t xml:space="preserve">UFC 4-720-01 requires fire protection in the guest laundry of lodging facilities. </t>
  </si>
  <si>
    <t>No UFC requirement exists for the incorporation of a loading dock
No elevator is provided in consonance with the Elevator Business Rules.</t>
  </si>
  <si>
    <t xml:space="preserve">No UFC requirement exists for the incorporation of overhead cranes.
</t>
  </si>
  <si>
    <t xml:space="preserve">No UFC criteria exist for component material.  The reference to Marshall and Swift laundromats includes brick, block (CMU), or tilt-up concrete panel construction.
</t>
  </si>
  <si>
    <t xml:space="preserve">UFC 4-720-01,"Lodging Facilities," 13 February 2012.
</t>
  </si>
  <si>
    <t>Unaccompanied Personnel Housing Garage</t>
  </si>
  <si>
    <t xml:space="preserve">Parking Garage / Building </t>
  </si>
  <si>
    <t>Dining Support Facility</t>
  </si>
  <si>
    <t>13/15</t>
  </si>
  <si>
    <t>Restaurants/Cafeterias, Class C, Average</t>
  </si>
  <si>
    <t>Latrine/Shower Facility</t>
  </si>
  <si>
    <t>Shower Room Building, Class C, Average</t>
  </si>
  <si>
    <t>Miscellaneous UPH Support Facility</t>
  </si>
  <si>
    <t>64/4</t>
  </si>
  <si>
    <t>Assumed Size: 40 FT x 20FT</t>
  </si>
  <si>
    <t>Unaccompanied Personnel Housing Carport</t>
  </si>
  <si>
    <t>Officer Unaccompanied Personnel Housing</t>
  </si>
  <si>
    <t>Table 2, UFC 3-701-1 as of April 2017</t>
  </si>
  <si>
    <t>Officer UPH, Transient</t>
  </si>
  <si>
    <t>Service Academy Unaccompanied Personnel Housing</t>
  </si>
  <si>
    <t>Emergency Unaccompanied Personnel Housing</t>
  </si>
  <si>
    <t>12/39</t>
  </si>
  <si>
    <t xml:space="preserve">Inflation Adjustment by MILCON Index 
</t>
  </si>
  <si>
    <t>Rough Grading, Dumped Material Spread by Dozer, No Compaction</t>
  </si>
  <si>
    <t>Fire Station Facility</t>
  </si>
  <si>
    <t>Fire Station, Community</t>
  </si>
  <si>
    <t>Prison/Confinement Facility</t>
  </si>
  <si>
    <t>Correctional Facility, Class C, Average; does not include elevator</t>
  </si>
  <si>
    <t>per SF</t>
  </si>
  <si>
    <t>Police Station</t>
  </si>
  <si>
    <t>Police Station, Class C, Average, without elevator</t>
  </si>
  <si>
    <t>Drug and Alcohol Abuse Center</t>
  </si>
  <si>
    <t>15/22</t>
  </si>
  <si>
    <t>Medical Office Building, Class C, Average</t>
  </si>
  <si>
    <t>Bread/Pastry Kitchen</t>
  </si>
  <si>
    <t>14/40</t>
  </si>
  <si>
    <t>Bakery Plant; Class C, D, &amp; S; including heating and/or cooling (Marshall and Swift Valuation, October 2017)</t>
  </si>
  <si>
    <t>Sprinkler, 40,000 SF, Wet System, Average</t>
  </si>
  <si>
    <t>Ice/Dairy Products Plant</t>
  </si>
  <si>
    <t>14/25</t>
  </si>
  <si>
    <t>Creameries, Class C, Average</t>
  </si>
  <si>
    <t>Chiller/Freezer, Moderate Climate, per SF</t>
  </si>
  <si>
    <t>Sprinkler, 2,500 SF, Wet System, Average</t>
  </si>
  <si>
    <t>Greenhouse</t>
  </si>
  <si>
    <t>17/22</t>
  </si>
  <si>
    <t>Greenhouse, Straight-Wall Structure, Class S, Average</t>
  </si>
  <si>
    <t>17/23</t>
  </si>
  <si>
    <t>Humidifier, per EA, 1 EA</t>
  </si>
  <si>
    <t>Automatic vent and/or environmental controls, per unit</t>
  </si>
  <si>
    <t>Exchange Eating Facility</t>
  </si>
  <si>
    <t>13/17</t>
  </si>
  <si>
    <t>Restaurants - Fast Food, Class C, Average</t>
  </si>
  <si>
    <t>65/8</t>
  </si>
  <si>
    <t>Non-Exchange Eating Facility</t>
  </si>
  <si>
    <t>Set Equal to FAC 7331</t>
  </si>
  <si>
    <t>Open Mess and Club Facility</t>
  </si>
  <si>
    <t>Range hood, Complete, per LF, 10 LF, 2 EA</t>
  </si>
  <si>
    <t>Restaurant Hood and Duct, Dry Chemical Fire Protection System , 4 nozzles, per nozzle, Average</t>
  </si>
  <si>
    <t>Thrift Shop</t>
  </si>
  <si>
    <t>13/26</t>
  </si>
  <si>
    <t>Retail Store, Class C, Average</t>
  </si>
  <si>
    <t>Bus Station</t>
  </si>
  <si>
    <t>14/20</t>
  </si>
  <si>
    <t>Passenger Terminal, Class C, Average</t>
  </si>
  <si>
    <t>Laundry/Dry Cleaning Facility</t>
  </si>
  <si>
    <t>Central laundry and dry cleaning plant, average cost (Marshall and Swift Valuation, October 2017)</t>
  </si>
  <si>
    <t>Loading Dock, steel piers</t>
  </si>
  <si>
    <t>Loading Dock Roof, Good canopy structure with lighting and finished soffit</t>
  </si>
  <si>
    <t>Sprinkler, 5,000 SF, Wet system, Average</t>
  </si>
  <si>
    <t>Clothing Sales Store</t>
  </si>
  <si>
    <t>Set Equal to FAC 7346</t>
  </si>
  <si>
    <t>Postal Facility</t>
  </si>
  <si>
    <t>14/21</t>
  </si>
  <si>
    <t>Main Post Office, Class C, Average</t>
  </si>
  <si>
    <t>Exchange Automobile Facility</t>
  </si>
  <si>
    <t>64/1</t>
  </si>
  <si>
    <t>Service Station with Service Bays, Class S-C, Average</t>
  </si>
  <si>
    <t>Exchange Sales Facility</t>
  </si>
  <si>
    <t>Retail store, Class C, Average</t>
  </si>
  <si>
    <t>Bank and Credit Union</t>
  </si>
  <si>
    <t>15/21</t>
  </si>
  <si>
    <t>Car Wash Facility</t>
  </si>
  <si>
    <t>RPAD Ave Size</t>
  </si>
  <si>
    <t>64/5</t>
  </si>
  <si>
    <t>Commissary</t>
  </si>
  <si>
    <t>13/20</t>
  </si>
  <si>
    <t>Supermarket, Class C, Average</t>
  </si>
  <si>
    <t>Dock leveler, 8 EA</t>
  </si>
  <si>
    <t>Sprinkler, Wet System, Average, 50,000 SF</t>
  </si>
  <si>
    <t>Car Wash Structure</t>
  </si>
  <si>
    <t>Education Center</t>
  </si>
  <si>
    <t>Current Cost Adjustment</t>
  </si>
  <si>
    <t>18/14</t>
  </si>
  <si>
    <t>Classroom, Class C, Average</t>
  </si>
  <si>
    <t>% &gt; 12,000 SF</t>
  </si>
  <si>
    <t>18/35</t>
  </si>
  <si>
    <t>Dependent School Support Facility</t>
  </si>
  <si>
    <t>Chapel Facility</t>
  </si>
  <si>
    <t>Chapel, including Pew Seating</t>
  </si>
  <si>
    <t>Religious Education Facility</t>
  </si>
  <si>
    <t>Sprinkler, Wet System, Average, 5000 SF</t>
  </si>
  <si>
    <t>Nursery and Child Care Facility</t>
  </si>
  <si>
    <t>Child Development Center, Under 6 Years Old</t>
  </si>
  <si>
    <t>Family Service Center</t>
  </si>
  <si>
    <t>15/31</t>
  </si>
  <si>
    <t>Community Service Building, Class C, Average</t>
  </si>
  <si>
    <t>Sprinkler, Wet System, Average, 10,000 SF</t>
  </si>
  <si>
    <t>Homeless Support Facility</t>
  </si>
  <si>
    <t>Forestry Guard Station</t>
  </si>
  <si>
    <t>Locker Room</t>
  </si>
  <si>
    <t xml:space="preserve">Sprinkler, Wet System, Average, 5,000 SF </t>
  </si>
  <si>
    <t>Air Raid/Fallout/Storm Shelter</t>
  </si>
  <si>
    <t>Miscellaneous Personnel Shelter</t>
  </si>
  <si>
    <t>Picnic shelter</t>
  </si>
  <si>
    <t>Lighting Fixtures for Picnic Shelter, 2 Each</t>
  </si>
  <si>
    <t>Passenger Terminal, Class D, Low Cost</t>
  </si>
  <si>
    <t xml:space="preserve">Average Facility Cost </t>
  </si>
  <si>
    <t>Public Restroom/Shower</t>
  </si>
  <si>
    <t>18/21</t>
  </si>
  <si>
    <t>Restroom Building, Class C, Average</t>
  </si>
  <si>
    <t xml:space="preserve">Sprinkler, Wet System, Average, 3,000 SF </t>
  </si>
  <si>
    <t>Ceremonial Hall</t>
  </si>
  <si>
    <t>18/23</t>
  </si>
  <si>
    <t>Fieldhouse, Class C, Good</t>
  </si>
  <si>
    <t>Sprinkler, Wet System, Good, 30,000 SF</t>
  </si>
  <si>
    <t>Exchange Support Facility</t>
  </si>
  <si>
    <t>Distribution Warehouse, Class C, Average</t>
  </si>
  <si>
    <t>14/32</t>
  </si>
  <si>
    <t>Service (Repair) Garage, Class C, Average</t>
  </si>
  <si>
    <t xml:space="preserve">Average of four building types </t>
  </si>
  <si>
    <t>Sprinkler, Wet System, Average, 5,000 SF</t>
  </si>
  <si>
    <t>Exchange Warehouse</t>
  </si>
  <si>
    <t>Warehouse/Storage Facility: General Purpose - Large
( &gt;15,000 SF),  Low-Bay (Stack Height &lt; 16 FT)</t>
  </si>
  <si>
    <t>Private Vehicle Inspection Facility</t>
  </si>
  <si>
    <t>Service Garage, Class C, Average</t>
  </si>
  <si>
    <t>Sprinkler, Wet System, Average, 3,000 SF, Wet System</t>
  </si>
  <si>
    <t>Hobby And Craft Center</t>
  </si>
  <si>
    <t xml:space="preserve">Sprinkler, Wet System, Average, 10,000 SF </t>
  </si>
  <si>
    <t>Automobile Craft Center</t>
  </si>
  <si>
    <t>Golf Club House and Sales</t>
  </si>
  <si>
    <t>11/30</t>
  </si>
  <si>
    <t>Clubhouse, Class C, Average</t>
  </si>
  <si>
    <t>Club and Organization Building</t>
  </si>
  <si>
    <t>Bowling Center</t>
  </si>
  <si>
    <t>16/22</t>
  </si>
  <si>
    <t>16/25</t>
  </si>
  <si>
    <t xml:space="preserve">Sprinkler, Wet System, Average, 20,000 SF </t>
  </si>
  <si>
    <t>Library, General Use</t>
  </si>
  <si>
    <t>15/32</t>
  </si>
  <si>
    <t>Library, Class C, Average</t>
  </si>
  <si>
    <t>Recreation Center</t>
  </si>
  <si>
    <t>16/18</t>
  </si>
  <si>
    <t>Community Recreation Center, Class C, Average</t>
  </si>
  <si>
    <t>Indoor Skating Rink</t>
  </si>
  <si>
    <t>16/20</t>
  </si>
  <si>
    <t>Ice Skating Rink, Class C, Average</t>
  </si>
  <si>
    <t>Indoor Physical Fitness Facility</t>
  </si>
  <si>
    <t>Indoor Swimming Pool</t>
  </si>
  <si>
    <t>Natatorium, Class C, Average</t>
  </si>
  <si>
    <t xml:space="preserve">Sprinkler, Wet System, Average, 15,000 SF </t>
  </si>
  <si>
    <t>Auditorium and Theater Facility</t>
  </si>
  <si>
    <t>16/13</t>
  </si>
  <si>
    <t>Theater, Cinema, Class C, Average</t>
  </si>
  <si>
    <t>65/10</t>
  </si>
  <si>
    <t>Theater seats, neighborhood theater type, upholstered; assume 1,000 seats</t>
  </si>
  <si>
    <t xml:space="preserve">EA </t>
  </si>
  <si>
    <t xml:space="preserve">EA to SF </t>
  </si>
  <si>
    <t>Community Activities / Conference Center</t>
  </si>
  <si>
    <t>Community Recreation Center, Class C, Good</t>
  </si>
  <si>
    <t>Transient  Lodging</t>
  </si>
  <si>
    <t>Transient Training Officers Quarters (Newsletter, 20 March 2020)</t>
  </si>
  <si>
    <t>Senior Enlisted Officers Quarters, Transient (Newsletter, 16 May 2016)</t>
  </si>
  <si>
    <t>Recreational Lodging</t>
  </si>
  <si>
    <t>Transient And Recreational Lodging Support Facility</t>
  </si>
  <si>
    <t>Stable</t>
  </si>
  <si>
    <t>17/36</t>
  </si>
  <si>
    <t xml:space="preserve">Stable, Class C, Average </t>
  </si>
  <si>
    <t>Boathouse</t>
  </si>
  <si>
    <t>Boat Storage Building, Class S (substitute for C), Average</t>
  </si>
  <si>
    <t>MWR Sales and Rental Building</t>
  </si>
  <si>
    <t>Sprinkler, 3,000 SF, wet, average</t>
  </si>
  <si>
    <t>MWR Storage Building</t>
  </si>
  <si>
    <t xml:space="preserve">Storage Building, Unheated </t>
  </si>
  <si>
    <t>General Purpose (GP) Warehouse, Installation, Low-Bay, Up to 16 FT Stack Height, &lt; 15,000 SF</t>
  </si>
  <si>
    <t>Recreational Support Building</t>
  </si>
  <si>
    <t>Mechanical Building, Class "S" (Marshall And Swift Valuation, October 2017)</t>
  </si>
  <si>
    <t>Sprinkler, Wet, 2,500 SF, Average</t>
  </si>
  <si>
    <t>Extra Hazard</t>
  </si>
  <si>
    <t>Retail Kennel</t>
  </si>
  <si>
    <t>15/27</t>
  </si>
  <si>
    <t>Kennel, Class C,  Good</t>
  </si>
  <si>
    <t>Sprinkler, Wet, 3,000 SF, Average</t>
  </si>
  <si>
    <t>66/4</t>
  </si>
  <si>
    <t>Gate, Kennel Run, 4 Each</t>
  </si>
  <si>
    <t>Playground</t>
  </si>
  <si>
    <t>Unit Cost (SF)</t>
  </si>
  <si>
    <t>Outdoor Swimming Pool</t>
  </si>
  <si>
    <t>66/7</t>
  </si>
  <si>
    <t>Deduct 20% for gunnite pools</t>
  </si>
  <si>
    <t>Decking, 11,238 SF, 4" concrete, unreinforced</t>
  </si>
  <si>
    <t>Add for mesh reinforcing for deck</t>
  </si>
  <si>
    <t>LF/EA</t>
  </si>
  <si>
    <t>Gates, 5 FT wide, 6 FT high, 4 EA</t>
  </si>
  <si>
    <t>Golf Course</t>
  </si>
  <si>
    <t>Average of</t>
  </si>
  <si>
    <t>67/1</t>
  </si>
  <si>
    <t>Hole</t>
  </si>
  <si>
    <t>Holes/EA</t>
  </si>
  <si>
    <t>Golf Driving Range</t>
  </si>
  <si>
    <t>67/2</t>
  </si>
  <si>
    <t xml:space="preserve">Lighted driving range, assume 20 stations </t>
  </si>
  <si>
    <t>Station</t>
  </si>
  <si>
    <t>Stations/EA</t>
  </si>
  <si>
    <t>Golf Pitch and Putt Course</t>
  </si>
  <si>
    <t>Pitch and putt course, Average, 9 holes</t>
  </si>
  <si>
    <t>Outdoor Recreation Area</t>
  </si>
  <si>
    <t>Recreational Pier</t>
  </si>
  <si>
    <t>Assumed size 8 FT wide, 30 FT' long</t>
  </si>
  <si>
    <t>Ship and boat dock, Light construction, 2" floating deck, light posts</t>
  </si>
  <si>
    <t>Marina</t>
  </si>
  <si>
    <t>Assumed # slips = 90 (from review of military websites)</t>
  </si>
  <si>
    <t>Small Boat Marina, Average cost</t>
  </si>
  <si>
    <t>Slips/EA</t>
  </si>
  <si>
    <t>Outdoor Playing Court</t>
  </si>
  <si>
    <t>Average of 1 Tennis Court and 2  Basketball courts</t>
  </si>
  <si>
    <t>67/7</t>
  </si>
  <si>
    <t>Tennis Court, 7,200 SF (with apron), concrete, net, striping</t>
  </si>
  <si>
    <t>Lighting (Assume 50% lighting)</t>
  </si>
  <si>
    <t>Fencing</t>
  </si>
  <si>
    <t>Subtotal</t>
  </si>
  <si>
    <t>67/3</t>
  </si>
  <si>
    <t>Synthetic Basketball Court (94 FT x 50 FT with a 10 FT apron)</t>
  </si>
  <si>
    <t>Basketball Backstop, with pole</t>
  </si>
  <si>
    <t>per court</t>
  </si>
  <si>
    <t>Assume 2 basketball courts / 5% deduction for multiple courts</t>
  </si>
  <si>
    <t>Athletic Field</t>
  </si>
  <si>
    <t xml:space="preserve">Design Size </t>
  </si>
  <si>
    <t>Multipurpose Athletics Field (360' x 160')</t>
  </si>
  <si>
    <t>Running Track</t>
  </si>
  <si>
    <t>Stadium</t>
  </si>
  <si>
    <t>Assume 10,000 seats, priced per seat</t>
  </si>
  <si>
    <t>67/4</t>
  </si>
  <si>
    <t>Grandstand bleachers, open steel frame, school/fairground</t>
  </si>
  <si>
    <t>Seat</t>
  </si>
  <si>
    <t>Seats/EA</t>
  </si>
  <si>
    <t>Concrete/steel bleachers, no interior construction, stadium type, closed deck</t>
  </si>
  <si>
    <t>Bleachers with built-in training rooms, restrooms, snack bar,  college or small municipal stadium type</t>
  </si>
  <si>
    <t>Pavilion</t>
  </si>
  <si>
    <t>16/23</t>
  </si>
  <si>
    <t>Pavilion, Class C, Average</t>
  </si>
  <si>
    <t>Outdoor Theater</t>
  </si>
  <si>
    <t>67/5</t>
  </si>
  <si>
    <t>Drive-In theater, average (priced per car space)</t>
  </si>
  <si>
    <t>Car Space</t>
  </si>
  <si>
    <t>Car Spaces / EA</t>
  </si>
  <si>
    <t>Assume 75 Cars</t>
  </si>
  <si>
    <t>Recreational Camp and Trailer Park</t>
  </si>
  <si>
    <t># of Spaces Modifier (40 Spaces)</t>
  </si>
  <si>
    <t>63/2</t>
  </si>
  <si>
    <t>Trailer and Recreational Vehicle Parks, Low Cost, per space; Assume 40 Spaces; includes paving, utilities, and associated site facilities</t>
  </si>
  <si>
    <t>Space</t>
  </si>
  <si>
    <t>Spaces/EA</t>
  </si>
  <si>
    <t>Miscellaneous Outdoor Recreation Facility</t>
  </si>
  <si>
    <t>Miniature Golf Course, 18 Holes, Average Course</t>
  </si>
  <si>
    <t>Hole to EA</t>
  </si>
  <si>
    <t>Baseball, 3.5 acres</t>
  </si>
  <si>
    <t>Soil preparation, per SF, fine grading, 3.5 acres, Average</t>
  </si>
  <si>
    <t>AC to SF</t>
  </si>
  <si>
    <t>Lawn seeding, per SF, 3.5 acres, Average</t>
  </si>
  <si>
    <t>Batting cage</t>
  </si>
  <si>
    <t>Baseball backstop, with hood</t>
  </si>
  <si>
    <t>Chain-link fence, # 9 wire, 8 FT height (dugouts and bleachers)</t>
  </si>
  <si>
    <t>Permanent bleachers, wood frame, benches</t>
  </si>
  <si>
    <t>Seat to EA</t>
  </si>
  <si>
    <t>Total for Baseball Field</t>
  </si>
  <si>
    <t>Football</t>
  </si>
  <si>
    <t>Lawn seeding</t>
  </si>
  <si>
    <t>Goal posts, per pair</t>
  </si>
  <si>
    <t>Total for football</t>
  </si>
  <si>
    <t>Soccer</t>
  </si>
  <si>
    <t>Jogging Trail</t>
  </si>
  <si>
    <t>Soil preparation, fine grading</t>
  </si>
  <si>
    <t>Mulching</t>
  </si>
  <si>
    <t>Edging, redwood (2 edges per trail)</t>
  </si>
  <si>
    <t>Total for Jogging Trail</t>
  </si>
  <si>
    <t>Subtotal, all facilities</t>
  </si>
  <si>
    <t>Note: see footnotes for sizing of fields</t>
  </si>
  <si>
    <t>Average facility cost</t>
  </si>
  <si>
    <t>Museum</t>
  </si>
  <si>
    <t>16/19</t>
  </si>
  <si>
    <t>Museum, C, Good</t>
  </si>
  <si>
    <t>Monument and Memorial</t>
  </si>
  <si>
    <t>Cemetery</t>
  </si>
  <si>
    <t>Columbarium</t>
  </si>
  <si>
    <t>Mausoleum, Niche, Average</t>
  </si>
  <si>
    <t>Niche</t>
  </si>
  <si>
    <t>Niche / CF</t>
  </si>
  <si>
    <t>Niche's do not come in standard size; Niches at Arlington National Cemetery are 10"W x 14"H x 19"D, or 1.54 CF</t>
  </si>
  <si>
    <t>Pentagon Memorial</t>
  </si>
  <si>
    <t>WHS MILCON Project Cost</t>
  </si>
  <si>
    <t>Project Cost Line Item for 184 Memorials</t>
  </si>
  <si>
    <t>Memorials</t>
  </si>
  <si>
    <t>Cost per Memorial Unit</t>
  </si>
  <si>
    <t>Military Cost Premium not multiplied as cost derived from MILCON</t>
  </si>
  <si>
    <t>KW</t>
  </si>
  <si>
    <t>Stand-By/Emergency Power</t>
  </si>
  <si>
    <t>Unit Cost (EA)</t>
  </si>
  <si>
    <t>Reference Size (KW)</t>
  </si>
  <si>
    <t>KW/EA</t>
  </si>
  <si>
    <t>Standby Generator, Diesel, 3 Phase / 4 Wire, 277/480 Volts,
125 KW</t>
  </si>
  <si>
    <t>Standby Generator, Diesel, 3 Phase / 4 Wire, 277/480 Volts,
200 KW</t>
  </si>
  <si>
    <t>Standby Generator, Diesel, 3 Phase / 4 Wire, 277/480 Volts,
300 KW</t>
  </si>
  <si>
    <t>Standby Generator, Diesel, 3 Phase / 4 Wire, 277/480 Volts,
400 KW</t>
  </si>
  <si>
    <t>Standby Generator, Diesel, 3 Phase / 4 Wire, 277/480 Volts,
500 KW</t>
  </si>
  <si>
    <t>Electrical Power Source, Hydroelectric</t>
  </si>
  <si>
    <t>MW</t>
  </si>
  <si>
    <t>Generating Plant, Hydropower</t>
  </si>
  <si>
    <t>KW to MW</t>
  </si>
  <si>
    <t>Electrical Power Source, Wind Generated</t>
  </si>
  <si>
    <t>Wind power turbine</t>
  </si>
  <si>
    <t>Electrical Power Source, Photovoltaic</t>
  </si>
  <si>
    <t>54/5</t>
  </si>
  <si>
    <t>Watts</t>
  </si>
  <si>
    <t>KW per system</t>
  </si>
  <si>
    <t xml:space="preserve">Industrial Inverter, 3-Phase, grid-tie, 300 KW, High Cost </t>
  </si>
  <si>
    <t>Electrical Power Distribution Line, Overhead</t>
  </si>
  <si>
    <t>H-Frame Distribution Lines, 15-69 KV, Short Lines with Cross Arms and Insulators</t>
  </si>
  <si>
    <t>to LF</t>
  </si>
  <si>
    <t>Overhead Lines below 15 KV, with Cross Arms and Insulators</t>
  </si>
  <si>
    <t>Exterior Lighting, Pole</t>
  </si>
  <si>
    <t>Electrical Power Distribution Line, Underground</t>
  </si>
  <si>
    <t>Unit Cost (LF)</t>
  </si>
  <si>
    <t>Direct Burial, #1/0 - 3/C, 600 Volts DB, SEU Copper Conductor, Excavation and Backfill</t>
  </si>
  <si>
    <t>Underground Ductbanks, 1-Way, 4" Diameter PVC, Encased Burial, including Excavation, Cast-in-Place Concrete, Backfill</t>
  </si>
  <si>
    <t>Underground Ductbanks, 6-Way, 6" Diameter PVC, Encased Burial, including Excavation, Cast-in-Place Concrete, Backfill</t>
  </si>
  <si>
    <t>Electric Vehicle Charge Facility</t>
  </si>
  <si>
    <t>Level</t>
  </si>
  <si>
    <t>Type of Charger</t>
  </si>
  <si>
    <t>Chargers per Pedestal</t>
  </si>
  <si>
    <t>KW/Charger</t>
  </si>
  <si>
    <t>Per-Charger Cost for Equipment</t>
  </si>
  <si>
    <t>Per-Charger Cost for Installation</t>
  </si>
  <si>
    <t>$/KW</t>
  </si>
  <si>
    <t>Level 1</t>
  </si>
  <si>
    <t xml:space="preserve">One </t>
  </si>
  <si>
    <t>Level I Average</t>
  </si>
  <si>
    <t>Two</t>
  </si>
  <si>
    <t>Level 2</t>
  </si>
  <si>
    <t>Level II Average</t>
  </si>
  <si>
    <t>Level III Average</t>
  </si>
  <si>
    <t>Electrical Power Substation</t>
  </si>
  <si>
    <t>KV</t>
  </si>
  <si>
    <t>A1030010105</t>
  </si>
  <si>
    <t>203.2 mm(8") Slab On Grade 27,579 kPa(4000 PSI)</t>
  </si>
  <si>
    <t>D5010010104</t>
  </si>
  <si>
    <t>800 Amp Main Transformer (750 KVA Transformer, Secondary)</t>
  </si>
  <si>
    <t>D5010050612</t>
  </si>
  <si>
    <t>Enclosed Cir Bkr 600V 225A</t>
  </si>
  <si>
    <t>D5010060715</t>
  </si>
  <si>
    <t>Fused Safety Switch; 600V- NEMA 1</t>
  </si>
  <si>
    <t>D5010060718</t>
  </si>
  <si>
    <t>800A Main Switch Board Section, 480V, 3PH Copper Bus</t>
  </si>
  <si>
    <t>D5090030303</t>
  </si>
  <si>
    <t>Transformer Grounding</t>
  </si>
  <si>
    <t>D5090040401</t>
  </si>
  <si>
    <t>Lightning Protection System</t>
  </si>
  <si>
    <t>D5090060601</t>
  </si>
  <si>
    <t>Energy Management Control System</t>
  </si>
  <si>
    <t>PTS</t>
  </si>
  <si>
    <t>D5090909001</t>
  </si>
  <si>
    <t>Three Pair Conductor Signal Filter</t>
  </si>
  <si>
    <t>D5090909039</t>
  </si>
  <si>
    <t>1600 Amp Bus Duct</t>
  </si>
  <si>
    <t>D5090909052</t>
  </si>
  <si>
    <t>1600 Amp Feeder Duct</t>
  </si>
  <si>
    <t>D5090909055</t>
  </si>
  <si>
    <t>4000 Amp Feeder Duct</t>
  </si>
  <si>
    <t>G4010022677</t>
  </si>
  <si>
    <t>Oil filled transformer pad mounted, 15 kV with taps, 480 V secondary 3 phase, 1500 kVA</t>
  </si>
  <si>
    <t>G4010033076</t>
  </si>
  <si>
    <t>Oil circuit breakers, 13 to 26 kV</t>
  </si>
  <si>
    <t>G4010053217</t>
  </si>
  <si>
    <t>Steel pole, square, tapered shaft, 20', for distribution</t>
  </si>
  <si>
    <t>G4010060555</t>
  </si>
  <si>
    <t>15 KV, 3/0 To 4/0 Conductor, Terminations &amp; Splicing</t>
  </si>
  <si>
    <t>G4010064407</t>
  </si>
  <si>
    <t>Wire, copper, stranded, 600 volt, #2, type XHHW, in raceway</t>
  </si>
  <si>
    <t>Electrical Power Switching Station</t>
  </si>
  <si>
    <t>Electrical Power Transformers</t>
  </si>
  <si>
    <t>Transformer, 500 kVA, Oil Filled, 15 kV W/ TAPS, 480 V Secondary,  3 Phase</t>
  </si>
  <si>
    <t>EA/KV</t>
  </si>
  <si>
    <t>Transformer, 1,000 kVA, Oil Filled, 15 kV W/ TAPS, 480 V Secondary, 3 Phase</t>
  </si>
  <si>
    <t>Transformer, 2,000 KVA, Oil Filled, 15 kV W/ TAPS, 480 V Secondary, 3 Phase</t>
  </si>
  <si>
    <t>Lightning Protection System, Standalone</t>
  </si>
  <si>
    <t>Utility Pole, 40' High</t>
  </si>
  <si>
    <t>Grounding Rod, Complete, Good</t>
  </si>
  <si>
    <t>Lightning Terminal Point</t>
  </si>
  <si>
    <t>Cable, Lightning Protection, 80 FT</t>
  </si>
  <si>
    <t>FT/EA</t>
  </si>
  <si>
    <t xml:space="preserve">54/2 </t>
  </si>
  <si>
    <t>Insulator and Cable</t>
  </si>
  <si>
    <t>By FAC definition, "EA" refers to 1 pole/support structure within a lightning protection system.  Assume Poles are 40' tall.</t>
  </si>
  <si>
    <t>Heat Source</t>
  </si>
  <si>
    <t>BH</t>
  </si>
  <si>
    <t>Feature</t>
  </si>
  <si>
    <t>1 Boiler Horsepower (BHP) = 33,475 BH</t>
  </si>
  <si>
    <t>BH/BHP</t>
  </si>
  <si>
    <t>BHP = average size</t>
  </si>
  <si>
    <t>BHP</t>
  </si>
  <si>
    <t>Cost per BH = ($/BHP)*BHP/BH</t>
  </si>
  <si>
    <t>/BH</t>
  </si>
  <si>
    <t>per BH</t>
  </si>
  <si>
    <t>62/5</t>
  </si>
  <si>
    <t>Steel stack, 36 " diameter, 3/8", including foundation, 30 FT high (Cost per foot of height)</t>
  </si>
  <si>
    <t>UM changed for FY17 at direction of the OASD(S) Real Property Categorization Panel</t>
  </si>
  <si>
    <t xml:space="preserve">UFCs cited above direct the user to the ASME code for construction (fabrication) of a heat source. </t>
  </si>
  <si>
    <t xml:space="preserve">The average quantity for this FAC is 42,885,137 BH (Btu/hr.).  The common industry unit of measure is “MB”, thousands of Btu/hr. 
This FAC does not represent a building and therefore has no International Building Code Occupancy Group.
</t>
  </si>
  <si>
    <t xml:space="preserve">No fire suppression system is specified for this device.  The utility plant building in which this FAC is typically located is governed by 
UFC 3-600-01, "Fire Protection Engineering for Facilities," requires compliance with NFPA 850 in power generating plants.   NFPA 850  requires the use of an appropriate fire suppression system.
</t>
  </si>
  <si>
    <t xml:space="preserve">No UFC requirement exists for the incorporation of a loading dock as this is not a facility nor building
No elevator is provided in consonance with the Elevator Business Rules.
</t>
  </si>
  <si>
    <t xml:space="preserve">No Unified Facilities Criteria UFC requirement exists for the incorporation of overhead cranes.  
</t>
  </si>
  <si>
    <t xml:space="preserve">ASME BPVC establishes standard for boiler components and materials. 
</t>
  </si>
  <si>
    <t>Heat Distribution Line</t>
  </si>
  <si>
    <t xml:space="preserve">Common Conduit Underground (UGND) - Combined Steam (ST) Supply &amp; Condensate (CNDS) Return (RTN) Pipes, Prefabricated Black Steel (PBS) Pipe, Insulated (INSL) Cases), including Fittings (FTG) and Testing (TST) and Steam Manholes @ 250 FT On Center (O.C.), 3 FT Deep Excavation  and Backfill </t>
  </si>
  <si>
    <t>2 IN ST Supply &amp; 1-1/4 IN CNDS Return PBS Pipe, in 12-3/4 IN INSL Case with Manholes (MH) @ 250 FT On Center ( O.C.)</t>
  </si>
  <si>
    <t>Average Common Conduit ST Lines, UGND</t>
  </si>
  <si>
    <t xml:space="preserve">Single Conduit - ST or High Pressure Water (HPW) PBS Pipe with INSL Case on Supports, including FTG and TST </t>
  </si>
  <si>
    <t>1-1/4 IN PBS ST Pipe in 12-3/4 IN INSL Case on Supports</t>
  </si>
  <si>
    <t>2 IN PBS ST Pipe in 12-3/4 IN INSL Case on Supports</t>
  </si>
  <si>
    <t>3 IN PBS ST Pipe in 14 IN INSL Case on Supports</t>
  </si>
  <si>
    <t xml:space="preserve">4 IN PBS ST Pipe in 14 IN INSL Case on Supports </t>
  </si>
  <si>
    <t>6 IN PBS ST Pipe in 18 IN INSL Case on  Supports</t>
  </si>
  <si>
    <t>Average Single Conduit ST or HPW Pipes, UGND</t>
  </si>
  <si>
    <t>Common Conduit  - Combined Hot Water (HW) Supply &amp; Return (RTN) Pipes, PBS, INSL Case, including Excavation, Backfill, FTG and TST</t>
  </si>
  <si>
    <t>Average Common Conduit HW Pipes, UGND</t>
  </si>
  <si>
    <t>Heat Gas Production Plant</t>
  </si>
  <si>
    <t>Air Compressor, 20 HP</t>
  </si>
  <si>
    <t>EA to BH</t>
  </si>
  <si>
    <t>Welded Steel Pressure Tank, 45,000 GA</t>
  </si>
  <si>
    <t>62/3</t>
  </si>
  <si>
    <t>Utility Piping, Pressure Pipe, 4" Steel, 520 FT Total Length</t>
  </si>
  <si>
    <t>Total to BH</t>
  </si>
  <si>
    <t>Valves, Steel, Heavy Duty, 4", 4 EA</t>
  </si>
  <si>
    <t>Heat Gas Storage</t>
  </si>
  <si>
    <t>Welded Steel Pressure Tank, complete installation, 12,000 gal</t>
  </si>
  <si>
    <t>Heat Gas Distribution Line</t>
  </si>
  <si>
    <t>TR</t>
  </si>
  <si>
    <t>53/5</t>
  </si>
  <si>
    <t>Chilled Water and Refrigerant Distribution Line</t>
  </si>
  <si>
    <t>Return Line, Same as above</t>
  </si>
  <si>
    <t>Valve, Steel, General Duty,  6", 1 per 316 FT block</t>
  </si>
  <si>
    <t>EA to LF</t>
  </si>
  <si>
    <t>Sewage Treatment</t>
  </si>
  <si>
    <t>KG</t>
  </si>
  <si>
    <t>Sewage Treatment Plant, Large, Municipal, 1M-5M GA/Day</t>
  </si>
  <si>
    <t>GA to KG</t>
  </si>
  <si>
    <t>Industrial Waste Treatment</t>
  </si>
  <si>
    <t>Water Separation Facility</t>
  </si>
  <si>
    <t>17/39</t>
  </si>
  <si>
    <t>Waste System Separator, High Cost</t>
  </si>
  <si>
    <t>EA to KG</t>
  </si>
  <si>
    <t>Septic Tank and Drain Field</t>
  </si>
  <si>
    <t>Septic tank, installed, connected, 10,000 GA</t>
  </si>
  <si>
    <t>Drain field factor 1.25 x tank cost</t>
  </si>
  <si>
    <t>Grinder pump system</t>
  </si>
  <si>
    <t>Septic Lagoon and Settlement Ponds</t>
  </si>
  <si>
    <t>17/43</t>
  </si>
  <si>
    <t>Lagoon, Open pit, Concrete</t>
  </si>
  <si>
    <t>CF to GA</t>
  </si>
  <si>
    <t>Sewage Lift Stations</t>
  </si>
  <si>
    <t>Sewage Lift Station, 200,000 GPD</t>
  </si>
  <si>
    <t>Sewer and Industrial Waste Line</t>
  </si>
  <si>
    <t xml:space="preserve">Waste transfer and recycling buildings with tipping floor and small office, excluding equipment. Class C/D/S </t>
  </si>
  <si>
    <t xml:space="preserve">
</t>
  </si>
  <si>
    <t>2021 RPCS changed the Unit of Measure (UM) from EA to SF.  The UM was changed to SF for the PUC calculation.</t>
  </si>
  <si>
    <t>Incinerator</t>
  </si>
  <si>
    <t>62/6</t>
  </si>
  <si>
    <t>Incinerator, 2000 LB/HR extrapolated</t>
  </si>
  <si>
    <t>Feeder</t>
  </si>
  <si>
    <t>EA to TH</t>
  </si>
  <si>
    <t>Chimney, 12" round, per foot, assume 50 ft</t>
  </si>
  <si>
    <t>FT to TH</t>
  </si>
  <si>
    <t>Service entrance, 3 Ph, 400 A</t>
  </si>
  <si>
    <t>Safety switch, 400 A</t>
  </si>
  <si>
    <t>Switchgear, 400 A, Commercial</t>
  </si>
  <si>
    <t>Circuit breakers, 400-600 A, 2 EA,240-480v</t>
  </si>
  <si>
    <t>Sanitary Landfill</t>
  </si>
  <si>
    <t>Private Sector Bid Prices</t>
  </si>
  <si>
    <t>Landfill Construction, Franklin Ohio, 2019</t>
  </si>
  <si>
    <t>Landfill Construction,Chautauqua County, NY 2021</t>
  </si>
  <si>
    <t>Landfill Construction,White City Oregon, 2018</t>
  </si>
  <si>
    <t>Cost from municipal contract price, Franklin, Ohio, 2019
Area Cost Factors  derived from USACE PAX 3.2.1</t>
  </si>
  <si>
    <t>Hazardous Waste Landfill</t>
  </si>
  <si>
    <t>FAC 8333 Sanitary Landfill</t>
  </si>
  <si>
    <t>Haz Design Factor</t>
  </si>
  <si>
    <t>Military Cost Premium not added because reference cost taken from adjacent FAC</t>
  </si>
  <si>
    <t>Water Treatment Facility</t>
  </si>
  <si>
    <t>Water Treatment Plant, Medium, 750K - 1M GPD</t>
  </si>
  <si>
    <t>GPD</t>
  </si>
  <si>
    <t>Water Storage, Potable</t>
  </si>
  <si>
    <t>Reservoir, Potable Water, Steel Storage Tank, Ground Level, 250,000 GA</t>
  </si>
  <si>
    <t>Reservoir, Potable Water, Steel Storage Tank, Ground Level, 500,000 GA</t>
  </si>
  <si>
    <t>Water Well, Potable</t>
  </si>
  <si>
    <t>9" casing, Average, 200 FT, $56.00/FT</t>
  </si>
  <si>
    <t>17/57</t>
  </si>
  <si>
    <t>Pump, vertical turbine, 600 GPM, 10 HP</t>
  </si>
  <si>
    <t>GPM to KG</t>
  </si>
  <si>
    <t>600 GPM = 864 KG assume service factor of 75% (conversion factor = 648)</t>
  </si>
  <si>
    <t>Desalinization Plant</t>
  </si>
  <si>
    <t>Water Distribution Line, Potable</t>
  </si>
  <si>
    <t>Water Pump Facility, Potable</t>
  </si>
  <si>
    <t>Reference Size (GPM)</t>
  </si>
  <si>
    <t>2,000 GM to KG</t>
  </si>
  <si>
    <t>Water Source, Fire Protection</t>
  </si>
  <si>
    <t>Water Pump, 500 GPM, 4-IN Diesel Pump, 125 PSI, 78 HP, Including Controller, Fittings, &amp; Relief Valve, No Building</t>
  </si>
  <si>
    <t>EA to GM</t>
  </si>
  <si>
    <t>Water Pump, 1,000 GPM, 4-IN Diesel Pump, 100 PSI, 89 HP, Including Controller, Fittings, &amp; Relief Valve, No Building</t>
  </si>
  <si>
    <t>Water Pump, 2,000 GPM, 6-IN Diesel Pump, 100 PSI, 167 HP, Including Controller, Fittings, &amp; Relief Valve, No Building</t>
  </si>
  <si>
    <t>Water Distribution Line, Fire Protection</t>
  </si>
  <si>
    <t>Water Impoundment, Fire Protection</t>
  </si>
  <si>
    <t>Water Pump Facility, Fire Protection</t>
  </si>
  <si>
    <t>Water Tank, Fire Protection</t>
  </si>
  <si>
    <t>Set equal to FAC 8413</t>
  </si>
  <si>
    <t>Water Storage, Non Potable</t>
  </si>
  <si>
    <t>Reservoir, Water</t>
  </si>
  <si>
    <t>Water Distribution Line, Non-Potable</t>
  </si>
  <si>
    <t>Water Pump Facility, Non-Potable</t>
  </si>
  <si>
    <t>Road, Surfaced</t>
  </si>
  <si>
    <t>Asphalt Road</t>
  </si>
  <si>
    <t>CY to SY</t>
  </si>
  <si>
    <t>ECY</t>
  </si>
  <si>
    <t>ECY to SY</t>
  </si>
  <si>
    <t>1-1/2-IN Crushed Stone Base, 6-IN Deep, Compacted, without Earthwork</t>
  </si>
  <si>
    <t>Surface Treatment, Tack Coat Emulsion. 15 GA/SY</t>
  </si>
  <si>
    <t>Concrete Road</t>
  </si>
  <si>
    <t>1-1/2-IN Crushed Stone Base, 4-IN Deep, Compacted, without Earthwork</t>
  </si>
  <si>
    <t>6-IN Thick, Reinforced Concrete Pavement, 4,500 PSI, Fixed Form, 12-IN Pass, Including Joints, Finishings, Curing; no Earthwork</t>
  </si>
  <si>
    <t>Cast-in-Place Concrete Curb and Gutter, 6-IN High, 6-IN Thick,
24-IN wide (24-FT non-divided Roadway)</t>
  </si>
  <si>
    <t>LF to SY</t>
  </si>
  <si>
    <t>Pavement Markings, Acrylic Waterborne, 4-IN wide White or Yellow</t>
  </si>
  <si>
    <t>Road, Unsurfaced</t>
  </si>
  <si>
    <t>Fine Grading, Granular Subbase for Paving, +/- 1-IN Compaction,
3 passes, 6-IN Lifts</t>
  </si>
  <si>
    <t>Road construction assumes 12-IN clearing and grubbing to reach inorganic base.</t>
  </si>
  <si>
    <t>Vehicle Bridge</t>
  </si>
  <si>
    <t>Bridge, highway, steel median per SF</t>
  </si>
  <si>
    <t>Tunnel</t>
  </si>
  <si>
    <t>Underground walkway, per SF including HVAC and lighting</t>
  </si>
  <si>
    <t>Vehicle Parking, Surfaced</t>
  </si>
  <si>
    <t>Vehicle Parking and Staging Area, Unsurfaced</t>
  </si>
  <si>
    <t>Vehicle Staging Area, Surfaced</t>
  </si>
  <si>
    <t>Sidewalk and Walkway</t>
  </si>
  <si>
    <t>Pedestrian Bridge</t>
  </si>
  <si>
    <t>Pedestrian bridge, steel</t>
  </si>
  <si>
    <t>Miscellaneous Paved Area</t>
  </si>
  <si>
    <t>Parking Garage/Building</t>
  </si>
  <si>
    <t>Traffic Signals</t>
  </si>
  <si>
    <t>Per Intersection</t>
  </si>
  <si>
    <t>-- Loudoun County VA, 1/20</t>
  </si>
  <si>
    <t>-- Palm Beach Cty , FL, 5/19</t>
  </si>
  <si>
    <t xml:space="preserve">-- Plymouth IN, 5/17 </t>
  </si>
  <si>
    <t>-- Detroit, MI, 1/20</t>
  </si>
  <si>
    <t>-- Brevard, FL 5/22</t>
  </si>
  <si>
    <t>-- Moore OK, 1/17</t>
  </si>
  <si>
    <t>-- Lawrence KS, 4/17</t>
  </si>
  <si>
    <t>-- San Leandro CA, 3/22</t>
  </si>
  <si>
    <t>Average Cost</t>
  </si>
  <si>
    <t>Area Cost Factors derived from UFC 3-701-01, 23 March 2022, Data Tables, Table 4-1 CONUS.</t>
  </si>
  <si>
    <t>Railroad Track</t>
  </si>
  <si>
    <t>LF to Mile</t>
  </si>
  <si>
    <t>Railroad Bridge</t>
  </si>
  <si>
    <t>Miscellaneous Railroad Facility</t>
  </si>
  <si>
    <t>17/55</t>
  </si>
  <si>
    <t>Railroad Track Scales, 200-TN capacity, reinforced concrete pit &amp; platform, steel scale mechanism</t>
  </si>
  <si>
    <t>Storm Drainage</t>
  </si>
  <si>
    <t>66/11</t>
  </si>
  <si>
    <t xml:space="preserve">Average Pipe Cost </t>
  </si>
  <si>
    <t>Retaining Structure</t>
  </si>
  <si>
    <t>SF to LF</t>
  </si>
  <si>
    <t>Hillside retaining wall add 100%</t>
  </si>
  <si>
    <t>Assume height = 8 FT</t>
  </si>
  <si>
    <t>Grounds Drainage Dams</t>
  </si>
  <si>
    <t>A1030050601</t>
  </si>
  <si>
    <t>Drainage</t>
  </si>
  <si>
    <t>G1020070101</t>
  </si>
  <si>
    <t>General Area Cleanup</t>
  </si>
  <si>
    <t>ACRE</t>
  </si>
  <si>
    <t>G1030010105</t>
  </si>
  <si>
    <t>Fine Grading, Hand</t>
  </si>
  <si>
    <t>G1030020212</t>
  </si>
  <si>
    <t>Hand Excavation, Sand/Gravel</t>
  </si>
  <si>
    <t>G1030020298</t>
  </si>
  <si>
    <t>0.38m3 (1/2 CY) Crawler Mounted, Hydraulic Excavator</t>
  </si>
  <si>
    <t>G1030040405</t>
  </si>
  <si>
    <t>950, 2.29m3 (3 CY), Delivered &amp; Dumped, Backfill W/Sand</t>
  </si>
  <si>
    <t>G1030050511</t>
  </si>
  <si>
    <t>Compact Soil W/Vibrating Plate</t>
  </si>
  <si>
    <t>G1030050514</t>
  </si>
  <si>
    <t>Compact Soil By Machine W/Roller</t>
  </si>
  <si>
    <t>G2050020201</t>
  </si>
  <si>
    <t>Sediment Fence, Temporary</t>
  </si>
  <si>
    <t>G2050030301</t>
  </si>
  <si>
    <t>Topsoil, 152.40mm (6") Lifts, Off-Site</t>
  </si>
  <si>
    <t>G2050040401</t>
  </si>
  <si>
    <t>Seeding, .67 Level &amp; .33 Slope, Hydr Spread</t>
  </si>
  <si>
    <t>G2050040408</t>
  </si>
  <si>
    <t>Fertilizer, Hydr Spread</t>
  </si>
  <si>
    <t>Levees and Dikes for Grounds Drainage</t>
  </si>
  <si>
    <t>Bulk Excavation, medium earth</t>
  </si>
  <si>
    <t>CY to LF</t>
  </si>
  <si>
    <t>Synthetic matting</t>
  </si>
  <si>
    <t>Riprap</t>
  </si>
  <si>
    <t>Gabions filled with stone, high cost</t>
  </si>
  <si>
    <t>Lawn, Hydroseeding only, average</t>
  </si>
  <si>
    <t xml:space="preserve">   </t>
  </si>
  <si>
    <t>Storm Water Ponds</t>
  </si>
  <si>
    <t>Stormwater Drainage (SD)  Ponds, includes fence, seeding slopes, partial liner and excavation; 1/8-AC, 5-FT deep</t>
  </si>
  <si>
    <t>SD Ponds, includes fence, seeding slopes, partial liner and excavation; 1/4-AC, 5-FT deep</t>
  </si>
  <si>
    <t>SD Ponds, includes fence, seeding slopes, partial liner and excavation; 3/8-AC, 5-FT deep</t>
  </si>
  <si>
    <t>SD Ponds, includes fence, seeding slopes, partial liner and excavation; 1/2-AC, 5-FT deep</t>
  </si>
  <si>
    <t>,</t>
  </si>
  <si>
    <t>Storm Water Filtration</t>
  </si>
  <si>
    <t>Storm Water Treatment Structure</t>
  </si>
  <si>
    <t>Polyethylene chamber system, complete, per gallon, high cost</t>
  </si>
  <si>
    <t>GA to GM</t>
  </si>
  <si>
    <t>Pipe drainage system, 10”, per linear foot, high cost, 20 LF</t>
  </si>
  <si>
    <t>LF to GM</t>
  </si>
  <si>
    <t>Chamber size = 14 FT x 6 FT x 2 FT = 5,932 gallons</t>
  </si>
  <si>
    <t>Representative Storm Water Treatment Structure  Flow Rate 1.82 CFS = 816.87 GM
https://biocleanenvironmental.com/wp-content/uploads/2018/06/KF-8-14-72-Standard.pdf</t>
  </si>
  <si>
    <t>Boundary Fence and Wall</t>
  </si>
  <si>
    <t>Security Fence</t>
  </si>
  <si>
    <t>Dam</t>
  </si>
  <si>
    <t>Lock</t>
  </si>
  <si>
    <t>No Records</t>
  </si>
  <si>
    <t>Navigation Revetments</t>
  </si>
  <si>
    <t>Soil Stabilization, lime</t>
  </si>
  <si>
    <t>Rip rap</t>
  </si>
  <si>
    <t>Assume SY = 1 LF x 9 FT from shore to water</t>
  </si>
  <si>
    <t>Training Dikes/Wing Dams/Pile Dikes</t>
  </si>
  <si>
    <t>Flood Control Structures</t>
  </si>
  <si>
    <t>Flood Control Levee/Floodwall</t>
  </si>
  <si>
    <t>Fish Facilities</t>
  </si>
  <si>
    <t>Monitoring Well</t>
  </si>
  <si>
    <t>Water Well, without pump, 130' deep, 5" casing,  Average</t>
  </si>
  <si>
    <t>Utility Building</t>
  </si>
  <si>
    <t>Sprinkler, Dry System, Average, 2,500 SF</t>
  </si>
  <si>
    <t>Installation Gas Production Plant</t>
  </si>
  <si>
    <t>Armory, Class C, Average, (similar in construction to utility building)</t>
  </si>
  <si>
    <t>Loading Dock, steel piers, heavy slab, steel bumper (Assume 15 FT x 30 FT)</t>
  </si>
  <si>
    <t>Compressor, 20 HP</t>
  </si>
  <si>
    <t>Welded Steel Pressure Tank, 15,000 GA, 7 FT x 54 FT</t>
  </si>
  <si>
    <t>Average size in inventory = 1,105 SF (85 FT x 13 FT)</t>
  </si>
  <si>
    <t>Installation Gas Storage</t>
  </si>
  <si>
    <t>Welded Steel Pressure Tank, 9,000 GA, 7 FT X 35 FT</t>
  </si>
  <si>
    <t>Vehicle Scales</t>
  </si>
  <si>
    <t>Truck scales, Fixed, 50 Ton</t>
  </si>
  <si>
    <t>Miscellaneous Pump Station</t>
  </si>
  <si>
    <t>CF to EA</t>
  </si>
  <si>
    <t>Hazardous Waste Storage Or Disposal Facility</t>
  </si>
  <si>
    <t>Utility Vaults</t>
  </si>
  <si>
    <t>Loading Platform/Ramp</t>
  </si>
  <si>
    <t>Installation Gas Distribution Line</t>
  </si>
  <si>
    <t>Utility Tunnel</t>
  </si>
  <si>
    <t>CF to LF</t>
  </si>
  <si>
    <t>Assume larger Tunnel = 12% of inventory</t>
  </si>
  <si>
    <t>Scaled Average</t>
  </si>
  <si>
    <t>Utility Channels</t>
  </si>
  <si>
    <t>Miscellaneous Storage Tank and Basin</t>
  </si>
  <si>
    <t>USACE PAX Military Construction (MILCON) Program Inflation Guide</t>
  </si>
  <si>
    <t>Referenced PAX NEWSLETTER 3.2.2 for CATCODE Unit Cost</t>
  </si>
  <si>
    <t xml:space="preserve"> Reference Date of Unit Cost</t>
  </si>
  <si>
    <t>FISCAL YEAR (FY)</t>
  </si>
  <si>
    <t>DoD SPI Index (Table 4-2, UFC 3-701-1)
(Notes 1, 2)</t>
  </si>
  <si>
    <t>Budget Guidance for Future Inflation
(Note 3)</t>
  </si>
  <si>
    <r>
      <t xml:space="preserve">Incorporating Military Cost Premium (MCP) into PRV Unit Costs (PUCs)
</t>
    </r>
    <r>
      <rPr>
        <b/>
        <sz val="11"/>
        <rFont val="Calibri"/>
        <family val="2"/>
        <scheme val="minor"/>
      </rPr>
      <t>Process for calculating and implementing MILCON Cost Premium provided below</t>
    </r>
  </si>
  <si>
    <t>Law</t>
  </si>
  <si>
    <t>Federal Design Practices</t>
  </si>
  <si>
    <t>Regulation</t>
  </si>
  <si>
    <t>Guidance</t>
  </si>
  <si>
    <t>Sustainability / Energy Standards</t>
  </si>
  <si>
    <t>Davis Bacon Wage Factor</t>
  </si>
  <si>
    <t>Bonding  Insurance</t>
  </si>
  <si>
    <t>Structural Premium</t>
  </si>
  <si>
    <t>Closure Premium</t>
  </si>
  <si>
    <t>Roof Premium</t>
  </si>
  <si>
    <t>Interior Premium</t>
  </si>
  <si>
    <t>Plumbing Premium</t>
  </si>
  <si>
    <t>HVAC Premium</t>
  </si>
  <si>
    <t>Electrical Premium</t>
  </si>
  <si>
    <t>AT/FP</t>
  </si>
  <si>
    <t>Staffing Requirements</t>
  </si>
  <si>
    <t>Limited Procurement Options</t>
  </si>
  <si>
    <t>Total MCP Factor</t>
  </si>
  <si>
    <t>FAC Title</t>
  </si>
  <si>
    <t>RPA Type</t>
  </si>
  <si>
    <t>COMMUNICATIONS FACILITY</t>
  </si>
  <si>
    <t>S</t>
  </si>
  <si>
    <t>AIRCRAFT NAVIGATION FACILITY</t>
  </si>
  <si>
    <t>COMMUNICATION LINES</t>
  </si>
  <si>
    <t>LS</t>
  </si>
  <si>
    <t>AIRFIELD LIGHTING</t>
  </si>
  <si>
    <t>SHIP NAVIGATION FACILITY</t>
  </si>
  <si>
    <t>HELIUM STORAGE FACILITY</t>
  </si>
  <si>
    <t>SHIP OPERATIONS BUILDING</t>
  </si>
  <si>
    <t>B</t>
  </si>
  <si>
    <t>PHOTO/TV PRODUCTION BUILDING</t>
  </si>
  <si>
    <t>OPERATIONS SUPPORT LAB</t>
  </si>
  <si>
    <t>OPERATIONS SUPPLY BUILDING</t>
  </si>
  <si>
    <t>SECURITY FORCE BUILDING</t>
  </si>
  <si>
    <t>AIRCRAFT FIRING-IN BUTT</t>
  </si>
  <si>
    <t>NUCLEAR WEAPONS SUPPORT FACILITY</t>
  </si>
  <si>
    <t>EXPLOSIVES RAILWAY HOLDING YARD</t>
  </si>
  <si>
    <t>REVETMENT</t>
  </si>
  <si>
    <t>PIER/WHARF ACCESS TRESTLE</t>
  </si>
  <si>
    <t>SHORE EROSION PREVENTION FACILITY</t>
  </si>
  <si>
    <t>SMALL CRAFT BERTHING</t>
  </si>
  <si>
    <t>SMALL CRAFT BUILDING</t>
  </si>
  <si>
    <t>MISCELLANEOUS WATERFRONT FACILITY</t>
  </si>
  <si>
    <t>WATER LAUNCH RAMP</t>
  </si>
  <si>
    <t>HARBOR MARINE IMPROVEMENTS</t>
  </si>
  <si>
    <t>TRAINING POOL AND TANK</t>
  </si>
  <si>
    <t>ENCLOSED FIRE FIGHTER TRAINER FACILITY</t>
  </si>
  <si>
    <t>PARADE AND DRILL FIELD</t>
  </si>
  <si>
    <t>GENERAL PURPOSE SMALL ARMS RANGE</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</si>
  <si>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</si>
  <si>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</si>
  <si>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</si>
  <si>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</si>
  <si>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</si>
  <si>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</si>
  <si>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</si>
  <si>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</si>
  <si>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</si>
  <si>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</si>
  <si>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</si>
  <si>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</si>
  <si>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</si>
  <si>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</si>
  <si>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</si>
  <si>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</si>
  <si>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</si>
  <si>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</si>
  <si>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</si>
  <si>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</si>
  <si>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</si>
  <si>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</si>
  <si>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</si>
  <si>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</si>
  <si>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</si>
  <si>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</si>
  <si>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</si>
  <si>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</si>
  <si>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</si>
  <si>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</si>
  <si>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</si>
  <si>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</si>
  <si>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</si>
  <si>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UNENCLOSED FIRE FIGHTER TRAINER FACILITY</t>
  </si>
  <si>
    <t>URBAN COMBAT TRAINING AREA, NON-FIRE</t>
  </si>
  <si>
    <t>HAND GRENADE RANGE, NON-FIRING</t>
  </si>
  <si>
    <t>INFILTRATION COURSE, LIVE FIRE</t>
  </si>
  <si>
    <t>CONFIDENCE/OBSTACLE COURSE</t>
  </si>
  <si>
    <t>AIRCRAFT MAINTENANCE SHOP</t>
  </si>
  <si>
    <t>MISSILE MAINTENANCE/ASSEMBLY BUILDING</t>
  </si>
  <si>
    <t>MISSILE/LAUNCHER MAINTENANCE SUPPORT FACILITY</t>
  </si>
  <si>
    <t>MISSILE TEST TOWER</t>
  </si>
  <si>
    <t>MISSILE MAINTENANCE/ASSEMBLY BUILDING, DEPOT</t>
  </si>
  <si>
    <t>ICBM PROCESSING FACILITY</t>
  </si>
  <si>
    <t>SHIP MAINTENANCE DRY DOCK</t>
  </si>
  <si>
    <t>MARINE MAINTENANCE SUPPORT FACILITY</t>
  </si>
  <si>
    <t>WEAPON MAINTENANCE SHOP, DEPOT</t>
  </si>
  <si>
    <t>WEAPON MAINTENANCE FACILITY, DEPOT</t>
  </si>
  <si>
    <t>AMMUNITION MAINTENANCE SHOP</t>
  </si>
  <si>
    <t>AMMUNITION MAINTENANCE SHOP, DEPOT</t>
  </si>
  <si>
    <t>AMMUNITION MAINTENANCE FACILITY, DEPOT</t>
  </si>
  <si>
    <t>ELECTRONIC AND COMMUNICATION MAINTENANCE FACILITY</t>
  </si>
  <si>
    <t>FACILITY ENGINEER MAINTENANCE SHOP</t>
  </si>
  <si>
    <t>FACILITY ENGINEER MAINTENANCE FACILITY</t>
  </si>
  <si>
    <t>AIRCRAFT PRODUCTION PLANT</t>
  </si>
  <si>
    <t>AIRCRAFT PRODUCTION STRUCTURE</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</si>
  <si>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</si>
  <si>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</si>
  <si>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</si>
  <si>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</si>
  <si>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</si>
  <si>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</si>
  <si>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</si>
  <si>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</si>
  <si>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</si>
  <si>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</si>
  <si>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</si>
  <si>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</si>
  <si>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</si>
  <si>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</si>
  <si>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</si>
  <si>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</si>
  <si>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</si>
  <si>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</si>
  <si>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</si>
  <si>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</si>
  <si>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</si>
  <si>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</si>
  <si>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</si>
  <si>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AERODYNAMIC WIND TUNNEL</t>
  </si>
  <si>
    <t>SMALL BULK STORAGE</t>
  </si>
  <si>
    <t>INTERCONTINENTAL BALLISTIC MISSILE STORAGE FACILITY</t>
  </si>
  <si>
    <t>LIQUID PROPELLANT STORAGE, AMMUNITION RELATED</t>
  </si>
  <si>
    <t>OPEN AMMUNITION STORAGE</t>
  </si>
  <si>
    <t>COLD STORAGE, DEPOT</t>
  </si>
  <si>
    <t>COLD STORAGE, INSTALLATION</t>
  </si>
  <si>
    <t>CONTROLLED HUMIDITY STORAGE, DEPOT</t>
  </si>
  <si>
    <t>CONTROLLED HUMIDITY STORAGE, INSTALLATION</t>
  </si>
  <si>
    <t>VEHICLE STORAGE, COVERED</t>
  </si>
  <si>
    <t>STORAGE SILO, LOOSE MATERIAL</t>
  </si>
  <si>
    <t>STORAGE AND CUSTOMER SERVICE</t>
  </si>
  <si>
    <t>OPEN STORAGE, DEPOT</t>
  </si>
  <si>
    <t>OPEN STORAGE, INSTALLATION</t>
  </si>
  <si>
    <t>MEDICAL LABORATORY</t>
  </si>
  <si>
    <t>MORGUE</t>
  </si>
  <si>
    <t>VETERINARY FACILITY</t>
  </si>
  <si>
    <t>MEDICAL WAREHOUSE</t>
  </si>
  <si>
    <t>AMBULANCE SHELTER</t>
  </si>
  <si>
    <t>PRINTING AND REPRODUCTION PLANT</t>
  </si>
  <si>
    <t>GENERAL ADMIN BUILDING, HIGH-RISE</t>
  </si>
  <si>
    <t>ADMINISTRATIVE STRUCTURE, OTHER THAN BUILDINGS</t>
  </si>
  <si>
    <t>FAMILY HOUSING TRAILER</t>
  </si>
  <si>
    <t>FAMILY HOUSING TRAILER SITE</t>
  </si>
  <si>
    <t>FAMILY HOUSING GARAGE</t>
  </si>
  <si>
    <t>FAMILY HOUSING STORAGE FACILITY</t>
  </si>
  <si>
    <t>MISCELLANEOUS FAMILY HOUSING SUPPORT FACILITY</t>
  </si>
  <si>
    <t>TRAILER COURT SUPPORT FACILITY</t>
  </si>
  <si>
    <t>FAMILY HOUSING CARPORT</t>
  </si>
  <si>
    <t>UNACCOMPANIED HOUSING FOR WOUNDED WARRIORS</t>
  </si>
  <si>
    <t>MISCELLANEOUS UPH SUPPORT BUILDING</t>
  </si>
  <si>
    <t>UNACCOMPANIED PERSONNEL HOUSING GARAGE</t>
  </si>
  <si>
    <t>DINING SUPPORT FACILITY</t>
  </si>
  <si>
    <t>LATRINE/SHOWER FACILITY</t>
  </si>
  <si>
    <t>MISCELLANEOUS UPH SUPPORT FACILITY</t>
  </si>
  <si>
    <t>UNACCOMPANIED PERSONNEL HOUSING CARPORT</t>
  </si>
  <si>
    <t>OFFICER UPH, TRANSIENT</t>
  </si>
  <si>
    <t>SERVICE ACADEMY UNACCOMPANIED PERSONNEL HOUSING</t>
  </si>
  <si>
    <t>EMERGENCY UNACCOMPANIED PERSONNEL HOUSING</t>
  </si>
  <si>
    <t>PRISON/CONFINEMENT FACILITY</t>
  </si>
  <si>
    <t>POLICE STATION</t>
  </si>
  <si>
    <t>DRUG AND ALCOHOL ABUSE CENTER</t>
  </si>
  <si>
    <t>BREAD/PASTRY KITCHEN</t>
  </si>
  <si>
    <t>ICE/DAIRY PRODUCTS PLANT</t>
  </si>
  <si>
    <t>GREENHOUSE</t>
  </si>
  <si>
    <t>EXCHANGE EATING FACILITY</t>
  </si>
  <si>
    <t>OPEN MESS AND CLUB FACILITY</t>
  </si>
  <si>
    <t>THRIFT SHOP</t>
  </si>
  <si>
    <t>BUS STATION</t>
  </si>
  <si>
    <t>LAUNDRY/DRY CLEANING FACILITY</t>
  </si>
  <si>
    <t>POSTAL FACILITY</t>
  </si>
  <si>
    <t>EXCHANGE AUTOMOBILE FACILITY</t>
  </si>
  <si>
    <t>EXCHANGE SALES FACILITY</t>
  </si>
  <si>
    <t>BANK AND CREDIT UNION</t>
  </si>
  <si>
    <t>CAR WASH FACILITY</t>
  </si>
  <si>
    <t>COMMISSARY</t>
  </si>
  <si>
    <t>CAR WASH STRUCTURE</t>
  </si>
  <si>
    <t>EDUCATION CENTER</t>
  </si>
  <si>
    <t>SCHOOL PLAYGROUNDS</t>
  </si>
  <si>
    <t>RELIGIOUS EDUCATION FACILITY</t>
  </si>
  <si>
    <t>FAMILY SERVICE CENTER</t>
  </si>
  <si>
    <t>FORESTRY GUARD STATION</t>
  </si>
  <si>
    <t>LOCKER ROOM</t>
  </si>
  <si>
    <t>MISCELLANEOUS PERSONNEL SHELTER</t>
  </si>
  <si>
    <t>PUBLIC RESTROOM/SHOWER</t>
  </si>
  <si>
    <t>CEREMONIAL HALL</t>
  </si>
  <si>
    <t>EXCHANGE SUPPORT FACILITY</t>
  </si>
  <si>
    <t>PRIVATE VEHICLE INSECTION STATION</t>
  </si>
  <si>
    <t>1.O21</t>
  </si>
  <si>
    <t>HOBBY AND CRAFT CENTER</t>
  </si>
  <si>
    <t>AUTOMOBILE CRAFT CENTER</t>
  </si>
  <si>
    <t>GOLF CLUB HOUSE AND SALES</t>
  </si>
  <si>
    <t>CLUB AND ORGANIZATION BUILDING</t>
  </si>
  <si>
    <t>BOWLING CENTER</t>
  </si>
  <si>
    <t>LIBRARY, GENERAL USE</t>
  </si>
  <si>
    <t>RECREATION CENTER</t>
  </si>
  <si>
    <t>INDOOR SKATING RINK</t>
  </si>
  <si>
    <t>INDOOR SWIMMING POOL</t>
  </si>
  <si>
    <t>AUDITORIUM AND THEATER FACILITY</t>
  </si>
  <si>
    <t>COMMUNITY ACTIVIES / CONFERENCE CENTER</t>
  </si>
  <si>
    <t>RECREATIONAL LODGING</t>
  </si>
  <si>
    <t>TRANSIENT AND RECREATIONAL LODGING SUPPORT FACILITY</t>
  </si>
  <si>
    <t>STABLE</t>
  </si>
  <si>
    <t>BOATHOUSE</t>
  </si>
  <si>
    <t>MISCELLANEOUS MWR FACILITY</t>
  </si>
  <si>
    <t>RECREATIONAL SUPPORT BUILDING</t>
  </si>
  <si>
    <t>RETAIL KENNEL</t>
  </si>
  <si>
    <t>OUTDOOR SWIMMING POOL</t>
  </si>
  <si>
    <t>GOLF COURSE</t>
  </si>
  <si>
    <t>GOLF DRIVING RANGE</t>
  </si>
  <si>
    <t>GOLF PITCH AND PUTT COURSE</t>
  </si>
  <si>
    <t>OUTDOOR RECREATION AREA</t>
  </si>
  <si>
    <t>RECREATIONAL PIER</t>
  </si>
  <si>
    <t>MARINA</t>
  </si>
  <si>
    <t>OUTDOOR PLAYING COURT</t>
  </si>
  <si>
    <t>RUNNING TRACK</t>
  </si>
  <si>
    <t>STADIUM</t>
  </si>
  <si>
    <t>PAVILION</t>
  </si>
  <si>
    <t>OUTDOOR THEATER</t>
  </si>
  <si>
    <t>RECREATIONAL CAMP AND TRAILER PARK</t>
  </si>
  <si>
    <t>MISCELLANEOUS OUTDOOR RECREATION FACILITY</t>
  </si>
  <si>
    <t>MUSEUM</t>
  </si>
  <si>
    <t>COLUMBARIUM</t>
  </si>
  <si>
    <t>ELECTRICAL POWER SOURCE</t>
  </si>
  <si>
    <t>ELECTRICAL POWER SOURCE HYDROELECTRIC</t>
  </si>
  <si>
    <t>ELECTRICAL POWER SOURCE, WIND GENERATED</t>
  </si>
  <si>
    <t>ELECTRICAL POWER SOURCE, PHOTOVOLTAIC</t>
  </si>
  <si>
    <t>EXTERIOR LIGHTING, POLE</t>
  </si>
  <si>
    <t>ELECTRIC VEHICLE CHARGE FACILITY</t>
  </si>
  <si>
    <t>LIGHTNING PROTECTION SYSTEM, STAND-ALONE</t>
  </si>
  <si>
    <t>HEAT SOURCE</t>
  </si>
  <si>
    <t>MB</t>
  </si>
  <si>
    <t>HEAT GAS PRODUCTION PLANT</t>
  </si>
  <si>
    <t>HEAT GAS STORAGE</t>
  </si>
  <si>
    <t>HEAT GAS DISTRIBUTION LINE</t>
  </si>
  <si>
    <t>REFRIGERATION AND AIR CONDITIONING SOURCE</t>
  </si>
  <si>
    <t>CHILLED WATER AND REFRIGERANT DISTRIBUTION LINE</t>
  </si>
  <si>
    <t>SEWAGE TREATMENT</t>
  </si>
  <si>
    <t>INDUSTRIAL WASTE TREATMENT</t>
  </si>
  <si>
    <t>WATER SEPARATION FACILITY</t>
  </si>
  <si>
    <t>SEPTIC TANK AND DRAIN FIELD</t>
  </si>
  <si>
    <t>SEPTIC LAGOON AND SETTLEMENT PONDS</t>
  </si>
  <si>
    <t>SEWER AND INDUSTRIAL WASTE LINE</t>
  </si>
  <si>
    <t>REFUSE COLLECTION AND RECYCLING FACILITY</t>
  </si>
  <si>
    <t>INCINERATOR</t>
  </si>
  <si>
    <t>SANITARY LANDFILL</t>
  </si>
  <si>
    <t>HAZARDOUS WASTE LANDFILL</t>
  </si>
  <si>
    <t>WATER TREATMENT FACILITY</t>
  </si>
  <si>
    <t>WATER STORAGE, POTABLE</t>
  </si>
  <si>
    <t>WATER WELL, POTABLE</t>
  </si>
  <si>
    <t>DESALINIZATION PLANT</t>
  </si>
  <si>
    <t>WATER DISTRIBUTION LINE, POTABLE</t>
  </si>
  <si>
    <t>WATER DISTRIBUTION LINE, FIRE PROTECTION</t>
  </si>
  <si>
    <t>WATER SOURCE, NON-POTABLE</t>
  </si>
  <si>
    <t>WATER STORAGE, NON-POTABLE</t>
  </si>
  <si>
    <t>ROAD, SURFACED</t>
  </si>
  <si>
    <t>VEHICLE BRIDGE</t>
  </si>
  <si>
    <t>VEHICULAR TUNNEL</t>
  </si>
  <si>
    <t>VEHICLE PARKING, SURFACED</t>
  </si>
  <si>
    <t>VEHICLE PARKING AND STAGING AREA, UNSURFACED</t>
  </si>
  <si>
    <t>VEHICLE STAGING AREA, SURFACED</t>
  </si>
  <si>
    <t>SIDEWALK AND WALKWAY</t>
  </si>
  <si>
    <t>PEDESTRIAN BRIDGE</t>
  </si>
  <si>
    <t>MISCELLANEOUS PAVED AREA</t>
  </si>
  <si>
    <t>TRAFFIC CONTROL SIGNALS</t>
  </si>
  <si>
    <t>RAILROAD TRACK</t>
  </si>
  <si>
    <t>RAILROAD BRIDGE</t>
  </si>
  <si>
    <t>MISCELLANEOUS RAILROAD FACILITY</t>
  </si>
  <si>
    <t>STORM DRAINAGE</t>
  </si>
  <si>
    <t>RETAINING STRUCTURE</t>
  </si>
  <si>
    <t>LEVEES AND DIKES FOR GROUNDS DRAINAGE</t>
  </si>
  <si>
    <t>STORM WATER FILTRATION</t>
  </si>
  <si>
    <t>STORM WATER TREATMENT STUCTURE</t>
  </si>
  <si>
    <t>BOUNDARY FENCE AND WALL</t>
  </si>
  <si>
    <t>SECURITY FENCE</t>
  </si>
  <si>
    <t>NAVIGATION REVETMENTS</t>
  </si>
  <si>
    <t>MONITORING WELL</t>
  </si>
  <si>
    <t>UTILITY BUILDING</t>
  </si>
  <si>
    <t>INSTALLATION GAS PRODUCTION PLANT</t>
  </si>
  <si>
    <t>INSTALLATION GAS STORAGE</t>
  </si>
  <si>
    <t>VEHICLE SCALES</t>
  </si>
  <si>
    <t>MISCELLANEOUS PUMP STATION</t>
  </si>
  <si>
    <t>HAZARDOUS WASTE STORAGE OR DISPOSAL FACILITY</t>
  </si>
  <si>
    <t>UTILITY VAULTS</t>
  </si>
  <si>
    <t>LOADING PLATFORM/RAMP</t>
  </si>
  <si>
    <t>MISCELLANEOUS UTILITY FACILITY</t>
  </si>
  <si>
    <t>INSTALLATION GAS DISTRIBUTION LINE</t>
  </si>
  <si>
    <t>UTILITY TUNNEL</t>
  </si>
  <si>
    <t>UTILIITY CHANNEL</t>
  </si>
  <si>
    <t>MISCELLANEOUS STORAGE TANK AND BASIN</t>
  </si>
  <si>
    <t>Notes:</t>
  </si>
  <si>
    <r>
      <rPr>
        <b/>
        <sz val="11"/>
        <rFont val="Calibri"/>
        <family val="2"/>
        <scheme val="minor"/>
      </rPr>
      <t>1.</t>
    </r>
    <r>
      <rPr>
        <sz val="11"/>
        <rFont val="Calibri"/>
        <family val="2"/>
        <scheme val="minor"/>
      </rPr>
      <t xml:space="preserve">  This additional factor is intended only for commercially sourced PRV Unit Costs (PUCs).  It is designed to incorporate those unique premiums by which Military Construction projects are affected.  For PUCs that are modeled from a combination of military and commercial component sources, if the sum of the commercial components is greater than 50% of the total PUC, than the MCP will apply.  </t>
    </r>
  </si>
  <si>
    <r>
      <rPr>
        <b/>
        <sz val="11"/>
        <rFont val="Calibri"/>
        <family val="2"/>
        <scheme val="minor"/>
      </rPr>
      <t>2.</t>
    </r>
    <r>
      <rPr>
        <sz val="11"/>
        <rFont val="Calibri"/>
        <family val="2"/>
        <scheme val="minor"/>
      </rPr>
      <t xml:space="preserve"> The source for these factors is the USACE sponsored study " A Report on Construction Unit Costs; Characterizing the MILCON Cost Premium" Submitted in April 2013 by L3/Stratus.  This report defines the Milcon Cost Premium (MCP) into three broad categories; Law, Regulation, and Guidance.  Regulation is further broken down as it applies to PUCs into seven federal design practices; Structural, Closure, Roof, Interior Finishes, Plumbing, HVAC, and Electrical.  This study only inspected five facility types; Medical Dispensary and Clinic,  General Administrative Facility, Enlisted Barracks,  Child Development Center, and Elementary School.  The implementation of these premiums to other FACs is an extrapolation.  </t>
    </r>
  </si>
  <si>
    <r>
      <rPr>
        <b/>
        <sz val="11"/>
        <rFont val="Calibri"/>
        <family val="2"/>
        <scheme val="minor"/>
      </rPr>
      <t>3.</t>
    </r>
    <r>
      <rPr>
        <sz val="11"/>
        <rFont val="Calibri"/>
        <family val="2"/>
        <scheme val="minor"/>
      </rPr>
      <t xml:space="preserve">  PRV Unit Costs derived from a Defense Department source (UFC 3-701-01 Table 1, Guidance Unit Costs (GUCs): USACE PAX) already include these premiums, and therefor are excluded from this additional calculation.  </t>
    </r>
  </si>
  <si>
    <r>
      <rPr>
        <b/>
        <sz val="11"/>
        <rFont val="Calibri"/>
        <family val="2"/>
        <scheme val="minor"/>
      </rPr>
      <t>4.</t>
    </r>
    <r>
      <rPr>
        <sz val="11"/>
        <rFont val="Calibri"/>
        <family val="2"/>
        <scheme val="minor"/>
      </rPr>
      <t xml:space="preserve">  The L3/Stratus report emphasizes that these factors are "non-additive," meaning they sometimes overlap in their effect and therefore can't simply be added together.  This overlap is adjusted for in this table by selecting the minimum contribution percent for each MCP component.  As the minimum total contribution to MCP by Federal Design Practices is 8.2%, the seven subordinate factors were adjusted so that their total contribution equaled 8.2%.</t>
    </r>
  </si>
  <si>
    <r>
      <rPr>
        <b/>
        <sz val="11"/>
        <rFont val="Calibri"/>
        <family val="2"/>
        <scheme val="minor"/>
      </rPr>
      <t>5.</t>
    </r>
    <r>
      <rPr>
        <sz val="11"/>
        <rFont val="Calibri"/>
        <family val="2"/>
        <scheme val="minor"/>
      </rPr>
      <t xml:space="preserve">  As not all MCP factors apply to all FACs, each FAC is analyzed individually for the application of each MCP factor.   </t>
    </r>
  </si>
  <si>
    <r>
      <rPr>
        <b/>
        <sz val="11"/>
        <rFont val="Calibri"/>
        <family val="2"/>
        <scheme val="minor"/>
      </rPr>
      <t>5.a.</t>
    </r>
    <r>
      <rPr>
        <sz val="11"/>
        <rFont val="Calibri"/>
        <family val="2"/>
        <scheme val="minor"/>
      </rPr>
      <t xml:space="preserve"> Sustainability / Energy Standards.  LEED, Executive Orders (EO), the Energy Policy Act (EPAct), and the Energy Independence and Security Act (EISA) requirements support the federal government’s strategy of lifecycle cost savings, but they do increase up-front costs, thereby contributing to the MCP.  If the typical facility in a FAC is constructed to comply with one or several of these policies, this factor is applied to the MCP total.</t>
    </r>
  </si>
  <si>
    <r>
      <rPr>
        <b/>
        <sz val="11"/>
        <rFont val="Calibri"/>
        <family val="2"/>
        <scheme val="minor"/>
      </rPr>
      <t>5.b.</t>
    </r>
    <r>
      <rPr>
        <sz val="11"/>
        <rFont val="Calibri"/>
        <family val="2"/>
        <scheme val="minor"/>
      </rPr>
      <t xml:space="preserve"> Davis Bacon Wage Factor.  Depending on prevailing wage rates in a particular state, Davis-Bacon may constitute an added cost when compared to a private sector job of similar scope.  It is assumed that all assets constructed for the DoD must implement the DBA, even though the DBA has been waived overseas (40 U.S.C. § 3142(a)).</t>
    </r>
  </si>
  <si>
    <r>
      <rPr>
        <b/>
        <sz val="11"/>
        <rFont val="Calibri"/>
        <family val="2"/>
        <scheme val="minor"/>
      </rPr>
      <t>5.c.</t>
    </r>
    <r>
      <rPr>
        <sz val="11"/>
        <rFont val="Calibri"/>
        <family val="2"/>
        <scheme val="minor"/>
      </rPr>
      <t xml:space="preserve"> Bonding  Insurance.  In accordance with FAR 28.102, all government construction projects over $150,000 are subject to the Miller Act, which requires performance and payment bonds.  If the average PRV for a FAC is less than $150,000, then this premium is not applied.</t>
    </r>
  </si>
  <si>
    <r>
      <rPr>
        <b/>
        <sz val="11"/>
        <rFont val="Calibri"/>
        <family val="2"/>
        <scheme val="minor"/>
      </rPr>
      <t>5.d.</t>
    </r>
    <r>
      <rPr>
        <sz val="11"/>
        <rFont val="Calibri"/>
        <family val="2"/>
        <scheme val="minor"/>
      </rPr>
      <t xml:space="preserve"> Structural Premium.  UFC 3-301-01 provides supplements, replacements and additions to numerous IBC 2009 sections. These changes cover serviceability, deflection limits, occupancy category, fall prevention and  protection, live loads, snow loads, wind loads, earthquake loads, structural tests and special inspections, vibratory loads, reinforcement, frost line depth, slab construction joints, corrosive environments, and more structural criteria.  In most cases, these changes to the IBC 2009 requirements involve more stringent requirements which must be met in the design of DOD building structures.  If the typical asset in a FAC has a significant structure, than the Structural Premium is applied.  </t>
    </r>
  </si>
  <si>
    <r>
      <rPr>
        <b/>
        <sz val="11"/>
        <rFont val="Calibri"/>
        <family val="2"/>
        <scheme val="minor"/>
      </rPr>
      <t>5.e.</t>
    </r>
    <r>
      <rPr>
        <sz val="11"/>
        <rFont val="Calibri"/>
        <family val="2"/>
        <scheme val="minor"/>
      </rPr>
      <t xml:space="preserve"> Closure Premium.  In general, DOD facilities used a more costly masonry veneer exterior closure systems as opposed to the less costly exterior closure systems found on the commercial projects.  In addition, a higher ratio of windows, found in DoD projects, will result in higher costs for nearly all types of closures.  If these conditions are common to a FAC, then the Closure Premium MCP factor is applied.</t>
    </r>
  </si>
  <si>
    <r>
      <rPr>
        <b/>
        <sz val="11"/>
        <rFont val="Calibri"/>
        <family val="2"/>
        <scheme val="minor"/>
      </rPr>
      <t>5.f.</t>
    </r>
    <r>
      <rPr>
        <sz val="11"/>
        <rFont val="Calibri"/>
        <family val="2"/>
        <scheme val="minor"/>
      </rPr>
      <t xml:space="preserve"> Roof Premium. UFC 3-110-03 is very prescriptive on the design, materials, installation, and warranty requirements. The prescriptive nature of this UFC is notable compared to other more broadly-scoped UFCs. For  example, the UFC excludes the use of various types of roofing system materials for decking, insulation, cover boards, and membranes.  If the typical asset in a FAC has any type of roof system on it, the Roof Premium is applied.</t>
    </r>
  </si>
  <si>
    <r>
      <rPr>
        <b/>
        <sz val="11"/>
        <rFont val="Calibri"/>
        <family val="2"/>
        <scheme val="minor"/>
      </rPr>
      <t>5.g.</t>
    </r>
    <r>
      <rPr>
        <sz val="11"/>
        <rFont val="Calibri"/>
        <family val="2"/>
        <scheme val="minor"/>
      </rPr>
      <t xml:space="preserve"> Interior Premium.  There is a significant difference between allocated space for MILCON and commercial facilities.  Although this could be attributable to unique features of the buildings, it is more likely to be indicative of the differences in design features between MILCON and commercial construction.  High personnel turnover rates drive a majority of the interior finish selections with DoD projects; heavier traffic wears out flooring  quicker.  Frequent re-assignments and new users and administrations insist upon more flexible space arrangements.  The Interior Premium is applied to FACs that have finished interiors.  </t>
    </r>
  </si>
  <si>
    <r>
      <rPr>
        <b/>
        <sz val="11"/>
        <rFont val="Calibri"/>
        <family val="2"/>
        <scheme val="minor"/>
      </rPr>
      <t>5.h.</t>
    </r>
    <r>
      <rPr>
        <sz val="11"/>
        <rFont val="Calibri"/>
        <family val="2"/>
        <scheme val="minor"/>
      </rPr>
      <t xml:space="preserve"> Plumbing Premium.  The average density of plumbing fixtures in DoD buildings is greater than Commercial buildings.  The Plumbing Premium is applied to those FACs that have interior plumbing.</t>
    </r>
  </si>
  <si>
    <r>
      <rPr>
        <b/>
        <sz val="11"/>
        <rFont val="Calibri"/>
        <family val="2"/>
        <scheme val="minor"/>
      </rPr>
      <t>5.i.</t>
    </r>
    <r>
      <rPr>
        <sz val="11"/>
        <rFont val="Calibri"/>
        <family val="2"/>
        <scheme val="minor"/>
      </rPr>
      <t xml:space="preserve"> HVAC Premium.  DoD prefers HVAC systems with air cooled chillers for generating cooling water and gas-fired hot water boilers for generating heating water.  The private sector tends to favor HVAC systems with more economical upfront equipment costs: heat pumps, direct expansion cooling, and electric heating. Commercial facilities also use less expensive rooftop units in various cooling and heating configurations. Rooftop units are generally discouraged by DoD owners.  The HVAC Premium is applied to those FACs that have HVAC systems.</t>
    </r>
  </si>
  <si>
    <r>
      <rPr>
        <b/>
        <sz val="11"/>
        <rFont val="Calibri"/>
        <family val="2"/>
        <scheme val="minor"/>
      </rPr>
      <t>5.j.</t>
    </r>
    <r>
      <rPr>
        <sz val="11"/>
        <rFont val="Calibri"/>
        <family val="2"/>
        <scheme val="minor"/>
      </rPr>
      <t xml:space="preserve"> Electrical Premium.  UFC guidance documents provide supplements, replacements, and additions to numerous sections of NFPA 70, National Electric Code. These enhancements generally involve more stringent  requirements which must be met in the design of DoD facilities and cover: Low voltage transformers, Switchgear and switchboards, Panelboards, Motor controls, Surge protective devices, Raceway, Conductors, Wiring devices, Lighting, Emergency generator/automatic transfer equipment, Grounding, and Telecom building cabling systems.   The Electrical Premium is applied to those FACs that have significant electrical systems.</t>
    </r>
  </si>
  <si>
    <r>
      <rPr>
        <b/>
        <sz val="11"/>
        <rFont val="Calibri"/>
        <family val="2"/>
        <scheme val="minor"/>
      </rPr>
      <t>5.k.</t>
    </r>
    <r>
      <rPr>
        <sz val="11"/>
        <rFont val="Calibri"/>
        <family val="2"/>
        <scheme val="minor"/>
      </rPr>
      <t xml:space="preserve"> Anti-Terrorism / Force Protection (AT/FP).  Special materials/systems and design considerations driven by AT/FP requirements can quickly add to project costs. In more developed areas, these costs can be especially high as the real estate for required setbacks may not be available, resulting in more robust facility construction requirements designed to resist blasts and/or prevent progressive collapse. Where setbacks can be met, additional costs include the extra land cost (for setbacks) and special materials/systems requirements (fences, vehicle gates, bollards, planters, jersey barriers, windows, doors, etc.).  The AT/FP Premium is applied to those FACs that are considered continuously occupied by personnel.  </t>
    </r>
  </si>
  <si>
    <r>
      <rPr>
        <b/>
        <sz val="11"/>
        <rFont val="Calibri"/>
        <family val="2"/>
        <scheme val="minor"/>
      </rPr>
      <t>5.l.</t>
    </r>
    <r>
      <rPr>
        <sz val="11"/>
        <rFont val="Calibri"/>
        <family val="2"/>
        <scheme val="minor"/>
      </rPr>
      <t xml:space="preserve"> Security Access.  The administrative process of clearing craft workers, laborers, materials suppliers and management staff for access to a DOD installation can increase general conditions costs for the contractor, and depending on threat levels, access to work sites on secure installations can result in lost time and productivity as contractors may be delayed at base entry points. The DOD requirement for contractors to exclusively employ a workforce with no criminal record and documented immigration status can also limit a contractor’s workforce.  The Security Access Premium has been omitted from the MCP calculations by the direction of the DoD Tri-Service Committee on Cost Engineering as this premium is inherent in the Area Cost Factor. </t>
    </r>
  </si>
  <si>
    <r>
      <rPr>
        <b/>
        <sz val="11"/>
        <rFont val="Calibri"/>
        <family val="2"/>
        <scheme val="minor"/>
      </rPr>
      <t>5.m.</t>
    </r>
    <r>
      <rPr>
        <sz val="11"/>
        <rFont val="Calibri"/>
        <family val="2"/>
        <scheme val="minor"/>
      </rPr>
      <t xml:space="preserve"> Staffing Requirements.  The experience requirements specified for certain personnel on MILCON projects can result in cost premiums as contractors must find qualified staff.  Professional registration, certifications,
specialized safety and training requirements are often required above and beyond what is typically necessary on a comparable private sector project.  As MILCON construction projects (&gt; $1 Million) are affected by these staffing requirements, those FACs with assets that can only be procured by a MILCON project will receive the Staffing Requirements Premium.  </t>
    </r>
  </si>
  <si>
    <r>
      <rPr>
        <b/>
        <sz val="11"/>
        <rFont val="Calibri"/>
        <family val="2"/>
        <scheme val="minor"/>
      </rPr>
      <t>5.n.</t>
    </r>
    <r>
      <rPr>
        <sz val="11"/>
        <rFont val="Calibri"/>
        <family val="2"/>
        <scheme val="minor"/>
      </rPr>
      <t xml:space="preserve"> Limited Procurement Options.  The FAR limits the use of innovative delivery systems to design-build and design-bid-build.  Current statutory and regulatory requirements preclude full implementation consistent with private sector best practices. As MILCON construction projects (&gt; $1 Million) are affected by these limited procurement options, those FACs with assets that can only be procured by a MILCON project will receive the  Limited Procurement Options Premium.</t>
    </r>
  </si>
  <si>
    <r>
      <rPr>
        <b/>
        <sz val="11"/>
        <rFont val="Calibri"/>
        <family val="2"/>
        <scheme val="minor"/>
      </rPr>
      <t>6.</t>
    </r>
    <r>
      <rPr>
        <sz val="11"/>
        <rFont val="Calibri"/>
        <family val="2"/>
        <scheme val="minor"/>
      </rPr>
      <t xml:space="preserve"> MCP components that had no credible findings in the L3 / Stratus study are omitted from this calculation.  These MCP components include: Federal Contracting Requirements, Approvals/Funding/Authorizations, A/E/C Selection/Contracting Process, Planning/Scoping Process, Multiple Decision Makers, Dynamic Project Requirements.  </t>
    </r>
  </si>
  <si>
    <t>999X</t>
  </si>
  <si>
    <t>Marshall and Swift (M&amp;S) Building Class and Type Selection Business Rule for PRV Unit Cost (PUC) Development</t>
  </si>
  <si>
    <t>CLASS[1]</t>
  </si>
  <si>
    <t>FRAME</t>
  </si>
  <si>
    <t>FLOOR</t>
  </si>
  <si>
    <t>ROOF</t>
  </si>
  <si>
    <t>WALLS</t>
  </si>
  <si>
    <t>USE FOR[2]</t>
  </si>
  <si>
    <t>A</t>
  </si>
  <si>
    <t>Structural steel columns and beams, fireproofed with masonry, concrete, plaster or other noncombustible material.</t>
  </si>
  <si>
    <t>Concrete on steel deck, fireproofed.</t>
  </si>
  <si>
    <t>Formed concrete, precast slabs, concrete or gypsum on steel deck, fireproofed.</t>
  </si>
  <si>
    <t>Nonbearing curtain walls, masonry, concrete, metal and glass panels, stone, steel studs and masonry, tile or stucco, etc..</t>
  </si>
  <si>
    <t>Reinforced concrete columns and beams, fire-resistant construction.</t>
  </si>
  <si>
    <t>Concrete or concrete on steel deck, fireproofed.</t>
  </si>
  <si>
    <t>C</t>
  </si>
  <si>
    <t>Masonry or concrete loadbearing walls with or without pilasters. Masonry, concrete or curtain walls with full or partial open steel, wood or concrete frame.</t>
  </si>
  <si>
    <t>Wood or concrete plank on wood or steel floor joists or concrete slab on grade.</t>
  </si>
  <si>
    <t>Wood or steel joists with wood or steel deck; concrete plank.</t>
  </si>
  <si>
    <t>Brick, concrete block or tile masonry, tilt-up, formed concrete, nonbearing curtain walls.</t>
  </si>
  <si>
    <t>Facilities designed for light industrial and community support.  FACs in the 6000 and 7000 series.</t>
  </si>
  <si>
    <t>Metal bents, columns, girders, purlins and girts without fireproofing, incombustible construction.</t>
  </si>
  <si>
    <t>Wood or steel deck on steel floor joists, or concrete slab on grade.</t>
  </si>
  <si>
    <t>Steel or wood deck on steel joists.</t>
  </si>
  <si>
    <t>Metal skin or sandwich panels. Generally incombustible.</t>
  </si>
  <si>
    <r>
      <t xml:space="preserve">All of the costs in the Calculator and Segregated Cost Sections are subdivided by quality for pricing purposes. It would be impossible, short of a detailed specification, to describe exactly what is meant by each quality, so proper selection is dependent upon the experience and judgment of the user.
The quality scales against which most buildings and their parts must be rated are:
</t>
    </r>
    <r>
      <rPr>
        <b/>
        <sz val="11"/>
        <rFont val="Calibri"/>
        <family val="2"/>
        <scheme val="minor"/>
      </rPr>
      <t>LOW COST /  AVERAGE / GOOD / EXCELLENT</t>
    </r>
    <r>
      <rPr>
        <sz val="11"/>
        <rFont val="Calibri"/>
        <family val="2"/>
        <scheme val="minor"/>
      </rPr>
      <t xml:space="preserve">
Additional classifications have been added where warranted.
For the purpose of the Manual, the Average building is representative of the majority of buildings of its occupancy and the cost is the statistically averaged cost of all buildings of its class and occupancy nationally. This must be considered by the valuator since it is very easy for an estimator working mainly on low-cost structures to tend to overclassify, and for the estimator, who is chiefly working on better properties, to under-classify because their ideas of an average building are different.
Usually, in cities with strong building codes, the Average building is the standard-code building with some extra trim and refinements.  On the other hand, in an area with less exacting code provisions, the Average building could be the best building in the community depending on the occupancy.  Also, certain occupancies in some areas may have stringent code requirements, funding agency constraints, and/or high land values, etc., which can drive the overall costs up; therefore, the local standard building for pricing purposes is rated “Good."  Quality of construction is often more difficult to determine in buildings where the importance of appearance and amenities is equal to or greater than the importance of pure utility. Dwellings often present a greater problem than do commercial or industrial buildings, which are usually designed primarily for utility and strength. Moreover, dwellings represent the most numerous single type of buildings. As an aid to quality classifications, descriptions of some components of typical buildings in various occupancies, styles, and qualities are given as a guide in the Calculator Sections, as well as pictures with explanations. Section 40 contains explanations of the Segregated Cost ratings. Following are brief, general descriptions of the four basic quality levels:
</t>
    </r>
  </si>
  <si>
    <r>
      <rPr>
        <b/>
        <sz val="11"/>
        <color theme="1"/>
        <rFont val="Calibri"/>
        <family val="2"/>
        <scheme val="minor"/>
      </rPr>
      <t>LOW QUALITY</t>
    </r>
    <r>
      <rPr>
        <sz val="11"/>
        <color theme="1"/>
        <rFont val="Calibri"/>
        <family val="2"/>
        <scheme val="minor"/>
      </rPr>
      <t xml:space="preserve">
Buildings in this category are generally constructed to minimum code requirements often with little regard for architectural appearance or other amenities. They are built with minimum investment in mind. Little ornamentation is used and interior partitioning and finish is minimal and/or of low quality.
In cities with strong building codes, few low-cost buildings of certain occupancy types are built because of code requirements and the fact that it often is not economical on high-priced land. In some rural communities, the Low Quality category may contain some of the more important buildings in town. The figures in the Calculator Costs are for the center of a range of costs of buildings in the same general category, and are not for the lowest-cost buildings which could be built. In general, Low-cost dwellings are houses built to conform to a minimum building code. Substandard single-family residences which were built without any building code control are given a special classification of Cheap quality. Cheap may also be used to describe a basic shell structure which is deficient in interior finishes typical of a particular occupancy.
</t>
    </r>
  </si>
  <si>
    <t>Not used.</t>
  </si>
  <si>
    <r>
      <rPr>
        <b/>
        <sz val="11"/>
        <color theme="1"/>
        <rFont val="Calibri"/>
        <family val="2"/>
        <scheme val="minor"/>
      </rPr>
      <t>AVERAGE QUALITY</t>
    </r>
    <r>
      <rPr>
        <sz val="11"/>
        <color theme="1"/>
        <rFont val="Calibri"/>
        <family val="2"/>
        <scheme val="minor"/>
      </rPr>
      <t xml:space="preserve">
Average-quality buildings constitute the largest group of buildings constructed, approximately fifty percent of all buildings. These are generally buildings designed for maximum economic potential without some of the pride of ownership or prestige amenities of higher-quality construction. They are of good standard code construction with simple ornamentation and finishes. The basic costs, which are listed, are national averages and in the case of any particular locality, may not represent the local average quality.In dwellings, the typical Average-quality dwelling changes through the years, with today’s dwelling generally having more electric outlets and services and more plumbing fixtures. At the same time,the quality of exterior and interior finishes has been lowered to compensate for the total cost of the house.
An Average, conventional frame dwelling should have joists and wall framing that will conform to all federal, state, and local building codes. Wall construction varies in different localities and modular homes may deviate in many respects. The Average Class D dwelling of the warmer portions of the United States may not have extensive sheathing or insulation between the studs and the exterior wall finish, while this would definitely be considered substandard in a colder climate. However, the warmer climate residence will generally have more fenestration. The Fair quality is the mid-range of the so-called “starter house”.
</t>
    </r>
  </si>
  <si>
    <t>Used for all FACs, except those listed in “Good” category</t>
  </si>
  <si>
    <r>
      <rPr>
        <b/>
        <sz val="11"/>
        <color theme="1"/>
        <rFont val="Calibri"/>
        <family val="2"/>
        <scheme val="minor"/>
      </rPr>
      <t>GOOD QUALITY</t>
    </r>
    <r>
      <rPr>
        <sz val="11"/>
        <color theme="1"/>
        <rFont val="Calibri"/>
        <family val="2"/>
        <scheme val="minor"/>
      </rPr>
      <t xml:space="preserve">
Buildings designed for good appearance, comfort and convenience, as well as an element of prestige, constitute the Good Quality category. Ornamental treatment is usually of higher quality and interiors are designed for upper-class rentals. The amenities of better lighting and mechanical work are primary items in their costs.
In dwellings, the good residence is generally built to cater to the young executive or move-up market. It will be much the same construction as the Average, with more detail and higher mechanical and electrical costs and may be the standard structure in the so-called move-up community.
</t>
    </r>
  </si>
  <si>
    <r>
      <rPr>
        <b/>
        <sz val="11"/>
        <color theme="1"/>
        <rFont val="Calibri"/>
        <family val="2"/>
        <scheme val="minor"/>
      </rPr>
      <t xml:space="preserve">EXCELLENT QUALITY </t>
    </r>
    <r>
      <rPr>
        <sz val="11"/>
        <color theme="1"/>
        <rFont val="Calibri"/>
        <family val="2"/>
        <scheme val="minor"/>
      </rPr>
      <t xml:space="preserve">
Excellent buildings are normally prestige buildings. On an economic basis, part of the cost must be written off to pride of ownership and some of the income intangibly derived from advertising.
Excellent dwellings are generally built for the established professional or those with higher
incomes and will have some expensive finishes and fixtures.
The High Value quality dwelling will normally have more ornamentation, special design, and top quality materials. However, the costs listed will not be high enough for the most luxurious types of dwellings, built without regard for cost, since each listed cost represents the center of the costs within that quality range.
</t>
    </r>
  </si>
  <si>
    <r>
      <rPr>
        <b/>
        <sz val="11"/>
        <rFont val="Calibri"/>
        <family val="2"/>
        <scheme val="minor"/>
      </rPr>
      <t>SUMMARY</t>
    </r>
    <r>
      <rPr>
        <sz val="11"/>
        <rFont val="Calibri"/>
        <family val="2"/>
        <scheme val="minor"/>
      </rPr>
      <t xml:space="preserve">
Buildings must be compared for quality within the occupancy listed. Industrial buildings must be compared with other industrial buildings. Lofts cannot be compared with offices, and all types must be considered in the light of what is built nationally. Many localities will never have an Excellent quality building. In some localities it will be difficult to build a Low-cost building for some occupancies because of code requirements and land costs.
It is usually true that a well-framed building is a well-finished building. If the builder cuts corners on his framing, he will probably also cut corners on his finish and mechanical equipment. Cheap hardware, lighting fixtures, and millwork may be very ornamental, while, for example, the structure of a model home may be scarcely strong enough to support its beautiful tile roof; therefore, the estimator must have some idea of comparative quality of components and the occupancy as a whole.
</t>
    </r>
  </si>
  <si>
    <t>Footnotes:</t>
  </si>
  <si>
    <t xml:space="preserve">[1] The source of the class and quality of construction, above, is the Marshall &amp; Swift Valuation Service, Section 1, pages 4 – 10, February 2020.  </t>
  </si>
  <si>
    <r>
      <t xml:space="preserve">[3]  The avoidance of ornamentation (characteristic of the Marshall &amp; Swift “Excellent” quality of construction) is consistent with the published goals of sustainability, seismic design safety, ease of maintenance, energy conservation and the avoidance of personnel injury caused by falling ornamentation.  See the WBDG Aesthetics Subcommittee, </t>
    </r>
    <r>
      <rPr>
        <i/>
        <sz val="11"/>
        <rFont val="Calibri"/>
        <family val="2"/>
        <scheme val="minor"/>
      </rPr>
      <t>Secure / Safe</t>
    </r>
    <r>
      <rPr>
        <sz val="11"/>
        <rFont val="Calibri"/>
        <family val="2"/>
        <scheme val="minor"/>
      </rPr>
      <t xml:space="preserve">, 28 September 2017.  See also </t>
    </r>
    <r>
      <rPr>
        <i/>
        <sz val="11"/>
        <rFont val="Calibri"/>
        <family val="2"/>
        <scheme val="minor"/>
      </rPr>
      <t>Seismic Rehabilitation of Federal Buildings: A Benefit/Cost Model, FEMA-255,</t>
    </r>
    <r>
      <rPr>
        <sz val="11"/>
        <rFont val="Calibri"/>
        <family val="2"/>
        <scheme val="minor"/>
      </rPr>
      <t xml:space="preserve"> Federal Emergency Management Agency, 1 September 1994.</t>
    </r>
  </si>
  <si>
    <t>Calculation of the Number of Elevators in a Building using the International Building Code and Toshiba Elevator Company Elevator Estimator</t>
  </si>
  <si>
    <t>Mean Average Of RPA Total Unit of Measure Quantity (SF)
(Note 1)</t>
  </si>
  <si>
    <t>IBC Occupancy Type        (Note 2)</t>
  </si>
  <si>
    <t xml:space="preserve">Number of Stories Above Ground (Average)
(Notes 3 &amp; 6) </t>
  </si>
  <si>
    <t>Number of Stories Below Ground (Average)
(Note 3)</t>
  </si>
  <si>
    <t>(Col E +
Col F) -1</t>
  </si>
  <si>
    <t>Col G/
(Col E+F)</t>
  </si>
  <si>
    <t># Pers per SF by Occupanc
(Note 4)</t>
  </si>
  <si>
    <t>Max
Occupancy =
Col C / Col I</t>
  </si>
  <si>
    <t xml:space="preserve">Col I * Col J =
# of Passengers </t>
  </si>
  <si>
    <t>Col J/200 Passengers per car  =   #  of Elevators (Note 5)</t>
  </si>
  <si>
    <t># of Elevators
(Rounded)
(Note 6)</t>
  </si>
  <si>
    <t>I</t>
  </si>
  <si>
    <t>F</t>
  </si>
  <si>
    <t>H</t>
  </si>
  <si>
    <t xml:space="preserve"> BIOSAFTY LEVEL 3 LABORATORY</t>
  </si>
  <si>
    <t>W</t>
  </si>
  <si>
    <t>R</t>
  </si>
  <si>
    <t>M</t>
  </si>
  <si>
    <t>E</t>
  </si>
  <si>
    <t>IBC Occupancy Types from 2018 International Building Code, "Use and Occupancy Classification", Chapter 3</t>
  </si>
  <si>
    <t>Average number of floors above/below ground are from the 2020 RPAD</t>
  </si>
  <si>
    <t>Number of Persons per SF by occupancy from 2018 International Building Code Table 1004.1.2 "Maximum Floor Area Allowance Per Occupant"</t>
  </si>
  <si>
    <t>Number of Persons per elevator from the Toshiba Elevator Company "Elevator Traffic Planning"</t>
  </si>
  <si>
    <t>Number of elevators is based upon the FAC area &amp; the maximum occupancy allowed by the IBC; if the average number of floors exceeds 1.5, at least one elevator will be included</t>
  </si>
  <si>
    <r>
      <t>Automatic Sprinkler Systems From International Building Code 2018 Section 903</t>
    </r>
    <r>
      <rPr>
        <b/>
        <vertAlign val="superscript"/>
        <sz val="14"/>
        <color theme="1"/>
        <rFont val="Calibri"/>
        <family val="2"/>
        <scheme val="minor"/>
      </rPr>
      <t xml:space="preserve">1 </t>
    </r>
    <r>
      <rPr>
        <b/>
        <sz val="14"/>
        <color theme="1"/>
        <rFont val="Calibri"/>
        <family val="2"/>
        <scheme val="minor"/>
      </rPr>
      <t xml:space="preserve"> </t>
    </r>
  </si>
  <si>
    <t>Occupancy</t>
  </si>
  <si>
    <t>Requirement</t>
  </si>
  <si>
    <t>A (A-1,-3, -4)</t>
  </si>
  <si>
    <t>&gt;12,000 SF</t>
  </si>
  <si>
    <t>A-2</t>
  </si>
  <si>
    <t>&gt;5,000 SF or Occupant load &gt;100 or fire area on a floor other than level of discharge</t>
  </si>
  <si>
    <t>Ambulatory Care</t>
  </si>
  <si>
    <t>4 or more  patients incapable of self-preservation</t>
  </si>
  <si>
    <t>&gt;5,000 SF</t>
  </si>
  <si>
    <r>
      <t>H</t>
    </r>
    <r>
      <rPr>
        <vertAlign val="superscript"/>
        <sz val="11"/>
        <color theme="1"/>
        <rFont val="Calibri"/>
        <family val="2"/>
        <scheme val="minor"/>
      </rPr>
      <t>2</t>
    </r>
  </si>
  <si>
    <t>Throughout</t>
  </si>
  <si>
    <t>U</t>
  </si>
  <si>
    <t>None</t>
  </si>
  <si>
    <r>
      <t>Occupancy Definitions (from International Building Code, Chapter 3)</t>
    </r>
    <r>
      <rPr>
        <vertAlign val="superscript"/>
        <sz val="11"/>
        <color theme="1"/>
        <rFont val="Calibri"/>
        <family val="2"/>
        <scheme val="minor"/>
      </rPr>
      <t>3</t>
    </r>
  </si>
  <si>
    <t>A: Assembly</t>
  </si>
  <si>
    <t>A1 – usually fixed seating for production and viewing performing arts and motion pictures</t>
  </si>
  <si>
    <t>A2 – intended for food, drink consumption e.g. nightclubs, restaurants, cafeterias</t>
  </si>
  <si>
    <t>A3 – intended for worship, recreation, amusement, e.g. bowling alleys, community halls, courtrooms, gymnasiums, indoor swimming pools, libraries, museums, places of worship</t>
  </si>
  <si>
    <t>A4 – intended for indoor sporting events with spectator seating</t>
  </si>
  <si>
    <t>A5 – intended for outdoor activities including bleachers, grandstands, stadiums</t>
  </si>
  <si>
    <t xml:space="preserve">B: Business  </t>
  </si>
  <si>
    <t>Intended for use as an office, professional or business use, including the storage of records. Examples include:</t>
  </si>
  <si>
    <t xml:space="preserve"> - Ambulatory care facilities: Note – these are buildings or portions of buildings used for medical, surgical, psychiatric, nursing or similar care on a less than 24 hour basis to individuals who are rendered incapable of self-preservation by the services provided</t>
  </si>
  <si>
    <t xml:space="preserve"> - Banks, electronic data processing</t>
  </si>
  <si>
    <t xml:space="preserve"> - Laboratories for testing and research</t>
  </si>
  <si>
    <t xml:space="preserve"> - Professional services (architects, engineers, attorneys, dentists, physicians, etc)</t>
  </si>
  <si>
    <t xml:space="preserve"> - Clinic for outpatient services: Note – these are buildings or portions thereof used to provide medical care on less than a 24-hour basis to persons who are not rendered incapable of self-preservation by the services provided</t>
  </si>
  <si>
    <t>E: Educational</t>
  </si>
  <si>
    <t>The use of a building or a portion thereof by six or more persons at any one time for educational purposes through the 12th grade</t>
  </si>
  <si>
    <t>F: Factory</t>
  </si>
  <si>
    <t>A building or structure or portion thereof use for assembling, disassembling, fabricating, finishing, manufacturing, packaging, repair or processing operations that are not classified as Group H Hazardous or Group S Storage</t>
  </si>
  <si>
    <t>H: High-Hazard</t>
  </si>
  <si>
    <t>Use of a building or portion thereof involving manufacturing, processing generation or storage of materials that constitute a physical or health hazard in quantities in excess of those allowed in control areas (Table 307.1(1))</t>
  </si>
  <si>
    <t>I: Institutional</t>
  </si>
  <si>
    <t>A building in which care or supervision is provided to persons who are not capable of self-preservation without physical assistance or in which persons are detained for penal or correctional purposes in which the liberty of occupants is restricted</t>
  </si>
  <si>
    <t>M: Mercantile</t>
  </si>
  <si>
    <t>Use for the display and sale of merchandise and involving stocks of goods, wares or merchandise and accessible to the public. Examples include:</t>
  </si>
  <si>
    <t xml:space="preserve"> - Department stores</t>
  </si>
  <si>
    <t xml:space="preserve"> - Drug stores</t>
  </si>
  <si>
    <t xml:space="preserve"> - Markets</t>
  </si>
  <si>
    <t xml:space="preserve"> - Motor fuel dispensing facilities</t>
  </si>
  <si>
    <t xml:space="preserve"> - Retail or wholesale facilities</t>
  </si>
  <si>
    <t>R: Residential</t>
  </si>
  <si>
    <t>Use of a building for sleeping purposes when not classified as Group I and not covered by the International Residential Code. Examples include:</t>
  </si>
  <si>
    <t>o Dormitories</t>
  </si>
  <si>
    <t>o Transient facilities</t>
  </si>
  <si>
    <t>o Hotels, motels</t>
  </si>
  <si>
    <t>S: Storage</t>
  </si>
  <si>
    <t>Use of a building for storage that is not classified as Group H Hazardous.</t>
  </si>
  <si>
    <t>U: Utility</t>
  </si>
  <si>
    <t>Buildings or structures of an accessory character and miscellaneous structures not classified in any other specific occupancy . Examples include:</t>
  </si>
  <si>
    <t>o Barns, fences, carports, greenhouses, private garages, sheds, retaining walls,stables, tanks, towers</t>
  </si>
  <si>
    <r>
      <t>Note that occupancy, design or materiel conditions may reduce or increase the requirement for a sprinkler or type of extinguishing system. Reference should be made to additional requirements in NFPA 101 Life Safety Code</t>
    </r>
    <r>
      <rPr>
        <vertAlign val="superscript"/>
        <sz val="11"/>
        <color theme="1"/>
        <rFont val="Calibri"/>
        <family val="2"/>
        <scheme val="minor"/>
      </rPr>
      <t>4</t>
    </r>
    <r>
      <rPr>
        <sz val="11"/>
        <color theme="1"/>
        <rFont val="Calibri"/>
        <family val="2"/>
        <scheme val="minor"/>
      </rPr>
      <t>, NFPA 13 Standard for the Installation of Sprinkler Systems</t>
    </r>
    <r>
      <rPr>
        <vertAlign val="superscript"/>
        <sz val="11"/>
        <color theme="1"/>
        <rFont val="Calibri"/>
        <family val="2"/>
        <scheme val="minor"/>
      </rPr>
      <t>5</t>
    </r>
    <r>
      <rPr>
        <sz val="11"/>
        <color theme="1"/>
        <rFont val="Calibri"/>
        <family val="2"/>
        <scheme val="minor"/>
      </rPr>
      <t xml:space="preserve"> or the International Building Code to determine the requirements for particular structures. In this business rule, a middle course for the selection of an extinguishing system is chosen, applicable to most buildings, most of the time.</t>
    </r>
  </si>
  <si>
    <t>1.  International Building Code, Chapter 9, Section 903, International Code Council, 2018</t>
  </si>
  <si>
    <t>2.  For H Occupancies, add extra hazard premium cost and early suppression system and early suppression pump</t>
  </si>
  <si>
    <t>3.  International Building Code, Chapter 3, Sections 300 – 311, International Code Council, 2018. The definitions have been summarized and are used for setting requirements for multiple purposes with the Code (e.g. structural design, means of egress, plumbing, electrical, mechanical).</t>
  </si>
  <si>
    <t>4.  National Fire Protection Association (NFPA) Life Safety Code, NFPA 101, 2018, Chapters 6 -42</t>
  </si>
  <si>
    <t>5.  NFPA Standard for the Installation of Sprinkler Systems, NFPA 13, 2019, Chapters 3, 5, 7 and 22.</t>
  </si>
  <si>
    <t>Loading Dock Footnote</t>
  </si>
  <si>
    <r>
      <t>The guide specification for design of a loading dock is contained in the Unified Facilities Guide Specification</t>
    </r>
    <r>
      <rPr>
        <vertAlign val="superscript"/>
        <sz val="11"/>
        <color theme="1"/>
        <rFont val="Calibri"/>
        <family val="2"/>
        <scheme val="minor"/>
      </rPr>
      <t>2</t>
    </r>
    <r>
      <rPr>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</si>
  <si>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Commercial Real Estate Development Association, NAIOP Research Foundation, “NAIOP Terms and Definitions: North American Office and Industrial Market, pg. 12.</t>
    </r>
  </si>
  <si>
    <r>
      <rPr>
        <vertAlign val="superscript"/>
        <sz val="11"/>
        <color theme="1"/>
        <rFont val="Calibri"/>
        <family val="2"/>
        <scheme val="minor"/>
      </rPr>
      <t>2</t>
    </r>
    <r>
      <rPr>
        <sz val="11"/>
        <color theme="1"/>
        <rFont val="Calibri"/>
        <family val="2"/>
        <scheme val="minor"/>
      </rPr>
      <t xml:space="preserve"> Unified Facility Guide Specification (UFGS)   UFGS-11 13 19.13 (August 2009)</t>
    </r>
  </si>
  <si>
    <t>Range Business Rules</t>
  </si>
  <si>
    <t>Design</t>
  </si>
  <si>
    <t>Adhere to range designs provided in TC 25-8; use FMs for specific weapons systems training/range use.</t>
  </si>
  <si>
    <t>Materials</t>
  </si>
  <si>
    <t>Select materials from current PAX Newsletter; if materials not found in PAX, use Marshall and Swift Valuation Service (see Marshall and Swift Business Rules for Class and Qualities of facilities)</t>
  </si>
  <si>
    <t>Horizontal Features</t>
  </si>
  <si>
    <t xml:space="preserve">1.       Use Concrete Reinforcing Steel Institute (CSRI) manual for rules of thumb on concrete thickness and reinforcing.
2.       Use US DOT Federal Highway Administration Gravel Roads Construction &amp; Maintenance Guide, August 2015.  </t>
  </si>
  <si>
    <t>Included facilities</t>
  </si>
  <si>
    <t>1.       Use only range design shown in TC 25-8 for facilities included.  Ancillary facilities shown on ”Standard Range Support Building Matrix” in TC 25-8 are assumed to be separately inventoried with individual property records.
2.       Supporting utilities to the range site will be excluded from the range RUC per USACE Engineering and Support Center Huntsville “Range and Training Land Program Information”, Utilities Services.</t>
  </si>
  <si>
    <t>Berm</t>
  </si>
  <si>
    <t>A common feature of ranges is the berm(s) used to attenuate debris from explosives and protect personnel from ordnance, shrapnel, and other airborne debris.  Berms are assumed to be constructed by bulldozers, piling and compacting soils.  CATCODE 93410 of the current PAX Newsletter will be used to price a berm at an assumed size of 2 M x 1 M x length as shown in the typical design found in TC 25-8.</t>
  </si>
  <si>
    <t>Utilities</t>
  </si>
  <si>
    <t xml:space="preserve">The following guidance is taken from USACE Engineering and Support Center Huntsville “Range and Training Land Program Information,” Utilities Services.
1.       There is no RTLP training requirement for water or sewage on a range project.
2.       There is no RTLP training requirement for telephone or fiber optics communications between a range and the Installation.
3.       Three phase primary electrical service will be extended to the range site.  Electrical power distribution will conform to AEI and TM 5-811-1.  The range project will only pay for a “short” run of poles and power lines to bring adjacent power service to the range site.  </t>
  </si>
  <si>
    <t>Tot</t>
  </si>
  <si>
    <t>DEPENDENT SCHOOL SUPPORT FACILITY</t>
  </si>
  <si>
    <t>MONUMENT AND MEMORIAL</t>
  </si>
  <si>
    <t>FLOOD CONTROL LEVEE/FLOODWALL</t>
  </si>
  <si>
    <t>G3060046102</t>
  </si>
  <si>
    <t>G2060902721</t>
  </si>
  <si>
    <t>G2060902723</t>
  </si>
  <si>
    <t>Arresting System - Bak12/Bak14 B/G (Below Ground)</t>
  </si>
  <si>
    <t>Arresting System - Bak12/61QS2 B/G (Below Ground)</t>
  </si>
  <si>
    <t>Aircraft Blast Deflector</t>
  </si>
  <si>
    <t>G2060902710</t>
  </si>
  <si>
    <t>Blast Deflector</t>
  </si>
  <si>
    <t>UFC 3-101-01, "Architecture," 16 December 2020, with Change 1, 5 January 2021.
UFC 4-200-xx (Series), "Maintenance and Production Facilities," various dates.
Commercial Real Estate Development Association, NAIOP Research Foundation, “NAIOP Terms and Definitions;" https://www.naiop.org/en/Research/Terms-and-Definitions.
UFGS-11 13 19.13, "Loading Dock Levelers," 01 August 2009.
IBC, 2021 Edition.</t>
  </si>
  <si>
    <t>UFC 3-201-01, "Civil Engineering," 01 April 2018, with Change 5, 01 April 2021
UFC 3-220-10, "Soil Mechanics," 01 February 2022
UFC 3-220-01, "Geotechnical Engineering," 1 November 2012, with Change 1, 03 November 2021
UFC 3-600-01, "Fire Protection Engineering for Facilities," 08 August 2016 with Change 6, 6 May 2021</t>
  </si>
  <si>
    <t>Refuse Collection and Recycling Structure</t>
  </si>
  <si>
    <t xml:space="preserve">UFC 1-200-01, "DoD Building Code," 08 October 2019, with Change 1, 01 October 2020
UFC 3-600-01, "Fire Protection Engineering for Facilities," 08 August 2016, with Change 6, 06 May 2021
IBC, 2021 edition
</t>
  </si>
  <si>
    <t xml:space="preserve">UFC 3-101-01, "Architecture," 16 December 2020, with Change 1, 05 January 2021.
UFC 4-300-xx (Series), Research, Development, Test and Evaluation Facilities
Commercial Real Estate Development Association, NAIOP Research Foundation, “NAIOP Terms and Definitions: North American Office and Industrial Market, pg. 12.
UFGS-11 13 19.13, "Loading Dock Levelers," August 2009, with Change 1, May 2019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</si>
  <si>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1 loading dock assembly is provided.   
The guide specification for design of a loading dock is contained in the Unified Facilities Guide Specification. 
The average number of floors is 1.90 yielding 1 elevators for the maximum number of occupants applying the Elevator Business Rule. The Marshall and Swift RDT&amp;E building, type 392, Class B building includes an elevator in the basic square foot cost.
</t>
  </si>
  <si>
    <t xml:space="preserve">UFC 3-101-01, "Architecture," 16 December 2020, with Change 1, 05 January 2021.
Commercial Real Estate Development Association, NAIOP Research Foundation, “NAIOP Terms and Definitions: North American Office and Industrial Market," pg. 12.
UFGS-11 13 19.13, "Loading Dock Levelers," August 2009, with Change 1, May 2019
</t>
  </si>
  <si>
    <t>UFC 4-440-01, "Warehouse and Storage Facilities," 01 October 2014.
NFPA 13, "Standard for the Installation of Fire Sprinkler Systems," 2016 Edition.
UFC 3-600-01, "Fire Protection Engineering for Facilities," 08 August 2016 with Change 6, 06 May 2021.
Commercial Real Estate Development Association, NAIOP Research Foundation, “NAIOP Terms and Definitions: North American Office and Industrial Market."
IBC, 2021 edition.</t>
  </si>
  <si>
    <t xml:space="preserve">UFC 1-200-01, “DoD Building Code,” 8 October 2019, with Change 1, 01 October 2020
UFC 3-600-01, "Fire Protection Engineering for Facilities," 08 August 2016 with Change 6, 06 May 2021.
IBC, 2021 edition
</t>
  </si>
  <si>
    <t xml:space="preserve">UFC 4-510-01, "Design: Military Medical Facilities,"  30 May 2019, with Change 1, 04 December  2019. 
UFC 4-720-01 "Lodging Facilities," 13 February 2012. Per DoD requirements, provide accessible rooms per Table F224.2 of the ABA Accessibility Standard for DoD facilities.
FC 4-721-10N, "Navy and Marine Corps Unaccompanied Housing," 1 November 2012, with Change 6, 1 May 2015. 
UFC 3-600-01, "Fire Protection Engineering for Facilities," 8 August 2016 with Change 6, 6 May 2021.
IBC, 2021 Edition.
UFC 3-101-01, "Architecture," 16 December 2020, with Change 1, 05 January 2022.                                                                                                                                                                                        </t>
  </si>
  <si>
    <t>Facilities designed to:
1.	protect equipment or other assets from effects of weather
2.	facilities used for utility or industrial purpose in the 8000 FAC series</t>
  </si>
  <si>
    <r>
      <t xml:space="preserve">[2] Selection of FACs based upon structural design, and materials used in construction.  Due to design and construction differences between DoD and the commercial sector, not every FAC will fit exactly in the categories outlined above.  There are FACs within a DoD asset class (1000, 2000...) that are more appropriately mapped to a different M&amp;S Building Class based on materials or design.  See the following Unified Facilities Criteria:  UFC 3-301-01, </t>
    </r>
    <r>
      <rPr>
        <i/>
        <sz val="11"/>
        <rFont val="Calibri"/>
        <family val="2"/>
        <scheme val="minor"/>
      </rPr>
      <t>Structural Engineering,</t>
    </r>
    <r>
      <rPr>
        <sz val="11"/>
        <rFont val="Calibri"/>
        <family val="2"/>
        <scheme val="minor"/>
      </rPr>
      <t xml:space="preserve"> Chapter 3, 1 October 2019; UFC 3-320-06A, </t>
    </r>
    <r>
      <rPr>
        <i/>
        <sz val="11"/>
        <rFont val="Calibri"/>
        <family val="2"/>
        <scheme val="minor"/>
      </rPr>
      <t>Concrete Floor Slabs on Grade Subjected to Heavy Loads</t>
    </r>
    <r>
      <rPr>
        <sz val="11"/>
        <rFont val="Calibri"/>
        <family val="2"/>
        <scheme val="minor"/>
      </rPr>
      <t xml:space="preserve">, 1 March 2005; UFC 3-340-02, </t>
    </r>
    <r>
      <rPr>
        <i/>
        <sz val="11"/>
        <rFont val="Calibri"/>
        <family val="2"/>
        <scheme val="minor"/>
      </rPr>
      <t xml:space="preserve">Structures to Resist the Effects of Accidental Explosions, Change 2, </t>
    </r>
    <r>
      <rPr>
        <sz val="11"/>
        <rFont val="Calibri"/>
        <family val="2"/>
        <scheme val="minor"/>
      </rPr>
      <t>1 September 2014.</t>
    </r>
  </si>
  <si>
    <t xml:space="preserve">American Society of Mechanical Engineers (ASME) Boiler and Pressure Vessel Code (BPVC) Section IV (2015)  governs the construction of the boiler (heat source).
Heat source controls are governed by ASME CSD-1-2015.  
UFC 3-410-01 provides general guidance for the heating system, including sizing and heat loss calculation guidance. 
UFC 3-430-02FA  provides guidance for steam boilers, referring the design professional to the ASME code for specific requirements and criteria. 
UFC 3-430-08N  provides guidance for a variety of central heating plants, referring the design professional to the ASME code for specific requirements and criteria. 
</t>
  </si>
  <si>
    <t>Marshall &amp; Swift cost are for standard gas- and light-oil-fired boilers, complete with pumps, controls and gauges, 15 LB pressure for steam, 30 LB for water.  Cost does  not include flue piping, electric wiring, pad, gas or oil piping or storage tanks.
ASME Boiler and Pressure Vessel (BPVC), 2021
Controls and Safety Devices for Automatically Fired Boilers, 2015
UFC 3-410-01, “Heating, Ventilation and Air Conditioning Systems," 01 July 2013, with Change 8, 21 July 2021
UFC 3-430-02FA, “Central Steam Boiler Plants," 15 May 2003, with Change 1, 01 December 2007
UFC 3-430-08N, “Central Heating Plants,” 16 January 2004
UFC 3-600-01, "Fire Protection Engineering for Facilities," 08 August 2016 with Change 6, 06 May 2021
NFPA 850, "Recommended Practice for Fire Protection for Electric Generating Plants and High Voltage Direct Current Converter Stations," 2015 edition</t>
  </si>
  <si>
    <t>Restroom Building, Class C Average</t>
  </si>
  <si>
    <t>Maintenance/Storage Building, Class C, Average</t>
  </si>
  <si>
    <t>Fieldhouse, Class C, Average</t>
  </si>
  <si>
    <t>Sprinkler, Wet System, 5,000 SF, Good</t>
  </si>
  <si>
    <t>Sewage Lift Station, 100 GPM</t>
  </si>
  <si>
    <t>GPD to KG</t>
  </si>
  <si>
    <t>Source:  DD 1391s for Magnetic Silencing/Sensing Ranges at three locations
ACFs Determined using March 2022 USACE Area Cost Factors</t>
  </si>
  <si>
    <t>Shipping dock, one 12' x 12' dock, structural steel or concrete piers  (144 SF)</t>
  </si>
  <si>
    <t>Unaccompanied Personnel Housing, Officers Quarters (does not include kitchentte equipment)</t>
  </si>
  <si>
    <t>Large high capacity package industrial boiler proportional cost of 1,000 HP and 6,000 HP boilers</t>
  </si>
  <si>
    <t>Utility Piping, pressure pipe, 6", steel, including trenching and backfill</t>
  </si>
  <si>
    <t>The construction cost of a hazardous waste landfill is determined to be 1.27 times the cost of a sanitary landfill.  Source: Landfill Economics: Getting Down to Business – Part 2 / March 16, 2016 / Daniel P. Duffy.  States now require double liners for landfills and / or utilize a liner with a full site lysimeter system to ensure groundwater protection and contaminant detection. 
Area Cost Factor and Inflation by MILCON index are not required as base cost is referenced to an already adjusted PUC.</t>
  </si>
  <si>
    <t>Note 1:  The historical index through October 2007 is the Engineering News Record Building Construction Index (ENR BCI).</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</si>
  <si>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</si>
  <si>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Note 4:  Midpoint of construction is the assumed month and year half way through a typical 15 month project awarded in March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</si>
  <si>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</si>
  <si>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2, UFC 3-701-1, 2 March 2023</t>
  </si>
  <si>
    <t>Facility is measured in SF; however, the GUC is calculated per Vertical Foot (VF) of Tower; see Note in Table 2, UFC 3-701-01.  Reference Size is the average height of the assets in the current RPAD.</t>
  </si>
  <si>
    <t>High Explosive Magazine, Small (&lt;5,000 SF)</t>
  </si>
  <si>
    <t>High Explosive Magazine, Large (&gt;5,000 SF)</t>
  </si>
  <si>
    <t>Dependent School Facility</t>
  </si>
  <si>
    <t>Dependent School</t>
  </si>
  <si>
    <r>
      <t>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t>
    </r>
    <r>
      <rPr>
        <vertAlign val="superscript"/>
        <sz val="11"/>
        <color theme="1"/>
        <rFont val="Calibri"/>
        <family val="2"/>
        <scheme val="minor"/>
      </rPr>
      <t>1</t>
    </r>
    <r>
      <rPr>
        <sz val="11"/>
        <color theme="1"/>
        <rFont val="Calibri"/>
        <family val="2"/>
        <scheme val="minor"/>
      </rPr>
      <t xml:space="preserve">.    For this FAC, 1 loading dock assembly is provided.  </t>
    </r>
  </si>
  <si>
    <t>Divided by 2023 DoD ACF for Arlington, VA</t>
  </si>
  <si>
    <t>Industrial, Heavy (Process) Manufacturing, Class A, Average, including craneway, HVAC and elevator  (Deduct $3.15 / SF for no included elevator)</t>
  </si>
  <si>
    <t>Overhead door, rollup, 2 doors, 10' X 12' doors (120 SF)</t>
  </si>
  <si>
    <t>Dock bumpers, 10 LF</t>
  </si>
  <si>
    <t>Marshall and Swift Valuation, October 2022</t>
  </si>
  <si>
    <t>Industrials, Heavy (Process) Manufacturing Building, Class A, Average, includes craneway (Deduct $3.15 / SF for no included elevator)</t>
  </si>
  <si>
    <t>SF dock per SF</t>
  </si>
  <si>
    <t>Sprinkler, 60,000 SF, Dry System, Average</t>
  </si>
  <si>
    <t>Overhead door, roll-up, 10x12 ft, 12 EA</t>
  </si>
  <si>
    <t>Dock bumpers, 10 LF per door</t>
  </si>
  <si>
    <t>Overhead door, roll-up, 10x12 ft, 4 EA</t>
  </si>
  <si>
    <t>Overhead door, electrical operator, 4 EA</t>
  </si>
  <si>
    <t>Industrials, Heavy (Process) Manufacturing, Class B, Average, including HVAC and craneway (Deduct $3.15 / SF for no included elevator)</t>
  </si>
  <si>
    <t>Overhead door, roll-up, 10x12 ft, 8 EA</t>
  </si>
  <si>
    <t>Overhead door, electrical operator, 8 EA</t>
  </si>
  <si>
    <t>Sprinkler, 40,000 SF, Dry System, Average</t>
  </si>
  <si>
    <t>Bridge Crane, 10 Ton, 2 EA, Span = 75 ft</t>
  </si>
  <si>
    <t>Overhead door, roll-up, 10x12 ft,6 EA</t>
  </si>
  <si>
    <t>Overhead door, electrical operator, 6 EA</t>
  </si>
  <si>
    <t>Laboratory  Building, Class A/B, Average, with complete HVAC, excluding elevator</t>
  </si>
  <si>
    <t>Sprinkler, Dry System, 2,500 SF, Average</t>
  </si>
  <si>
    <t>65/3</t>
  </si>
  <si>
    <t>Fume Hood Unit 4 EA</t>
  </si>
  <si>
    <t>/SF</t>
  </si>
  <si>
    <t>Overhead door, roll-up, 10x12 ft, 2 EA</t>
  </si>
  <si>
    <t>Overhead door, electrical operator, 2 EA</t>
  </si>
  <si>
    <t>Industrial, Engineering (Research &amp; Development) Building, Class B, Average, including elevator (Deduct $3.32/SF for no included elevator)</t>
  </si>
  <si>
    <t>Dormitory, Class B, Very Good - includes elevators</t>
  </si>
  <si>
    <t>Facilities designed to mitigate explosive overpressures, or high rises: FACs 1491, 2121, 2123, 2125, 2136, 2152, 2153, 2154, 2161,2162, 2163, 2211, 2221, 2251, 2252, 2261, 2262, 3151, 3161, 3181, 4212, 4231, 6107, 7242.</t>
  </si>
  <si>
    <t>7242 - Service Academy UPH</t>
  </si>
  <si>
    <r>
      <rPr>
        <b/>
        <sz val="11"/>
        <color theme="1"/>
        <rFont val="Calibri"/>
        <family val="2"/>
        <scheme val="minor"/>
      </rPr>
      <t>VERY GOOD QUALITY</t>
    </r>
    <r>
      <rPr>
        <sz val="11"/>
        <color theme="1"/>
        <rFont val="Calibri"/>
        <family val="2"/>
        <scheme val="minor"/>
      </rPr>
      <t xml:space="preserve">
Buildings designed for monumental appearance, comfort and convenience, as well as an element of
prestige, constitute the Very Good Quality category. Ornamental treatment is usually of higher quality
and interiors are designed for upper-class rentals. The amenities of better lighting and mechanical
work are primary items in their costs.</t>
    </r>
  </si>
  <si>
    <t>Sprinkler, Wet System, 30,000 SF, Good</t>
  </si>
  <si>
    <t>Add .5% for every Story over 3</t>
  </si>
  <si>
    <t>Enlisted Unaccompanied Personnel Housing (EUPH) Tent Pad</t>
  </si>
  <si>
    <t>Range hood, Complete, Average, per LF, 10 LF per hood</t>
  </si>
  <si>
    <t>Restaurant Hood and Duct, Dry chemical system fire extinguisher, per nozzle, Average, 2 nozzles EA</t>
  </si>
  <si>
    <t xml:space="preserve">Used only for prestige facilities in FACs 
5100 – hospital
6102 – Large Unit Headquarters
7333 - Open Mess and Club
7386 – Ceremonial Hall
7440 - Comm Act/Conf Cntr
7601 – Museum 
</t>
  </si>
  <si>
    <t>Club House, Class C, Good</t>
  </si>
  <si>
    <t>Loading dock Steel or concrete piers, heavy slab, steel bumper, 200 SF</t>
  </si>
  <si>
    <t>SF of Load Dock</t>
  </si>
  <si>
    <t>Sprinkler,5,000 SF, Wet System, Average</t>
  </si>
  <si>
    <t>Bank - Branches, Class C, Average, including elevator (Deduct $3.21/SF for no included elevator)</t>
  </si>
  <si>
    <t>Vocational School, Class C, Average</t>
  </si>
  <si>
    <t>18/12</t>
  </si>
  <si>
    <t xml:space="preserve">  Elevator, Passenger, base cost, 2 to 3 stories, Average</t>
  </si>
  <si>
    <t>Bowling Center, Class C, Average</t>
  </si>
  <si>
    <t>Sprinkler, Wet System, Good, 10,000 SF</t>
  </si>
  <si>
    <t>12/14</t>
  </si>
  <si>
    <t>Lodges, Class C, Average</t>
  </si>
  <si>
    <t xml:space="preserve">Poured Commercial Concrete Pool, 13,455 SF </t>
  </si>
  <si>
    <t>Fence, 6 FT, #9 wire, per LF (Add $2.86/LF for Rails)</t>
  </si>
  <si>
    <t>Class II, Simply designed course, no Driving Range, 9 holes</t>
  </si>
  <si>
    <t>Class II, Simply designed course, no Driving Range, 18 holes</t>
  </si>
  <si>
    <t>Tennis Court, Concrete 7200 SF, lighting, fenced</t>
  </si>
  <si>
    <t>Lawn seeding, per SF,</t>
  </si>
  <si>
    <t>Electrical Power Source, Plant</t>
  </si>
  <si>
    <t>KWatts/Module</t>
  </si>
  <si>
    <t>EA to KW</t>
  </si>
  <si>
    <t>Industrial Deep-Cycle Battery Pack, 24 volt, High Cost  18 EA</t>
  </si>
  <si>
    <t>Refrigeration and Air Conditioning Source, Plant</t>
  </si>
  <si>
    <t>Engineered System, installation, power,
connections, and all ancillary item, 500 TR</t>
  </si>
  <si>
    <t>USACE PAX Newsletter 3.2.2, 31 March 2023</t>
  </si>
  <si>
    <t>Natural Gas Piping, steel pipe, plain end , 3" diameter, schedule 40, includes excavation and backfill</t>
  </si>
  <si>
    <t>Note 1 of the USACE PAX Newsletter 3.2.2, 25 Mar 2023:  "Insufficient recent cost data."</t>
  </si>
  <si>
    <t>PUCs requiring an adjustment for inflation (USACE PAX) are inflated using  Table 4-2 of Unified Facilities Criteria (UFC 3-701-01).  Historical inflation is calculated using DoD Selling Price Index (SPI) (Actual) inflation.  Future inflation is calculated using Under Secretary of Defense (USD) (Comptroller) guidance, dated 07 February 2023, "Inflation Guidance - Fiscal Year (FY) 2024 President's Budget."  Midpoint of construction for FY 2023 PUCs is set to 1 October 2022.  Appendix C of the PAX Newsletter 3.2.2, dated 31 March 2023, (https://www.usace.army.mil/Cost-Engineering/PAX-Newsletter-322-Army-Facility-Unit-Costs/) is based on these same inflation numbers.  Appendix C, Note 1 provides guidance to "use 2.0% per fiscal year for projection beyond FY 2028."</t>
  </si>
  <si>
    <t xml:space="preserve">There are 38 assets listed in the 2022 RPAD for FAC 1467.  All are Navy, and predominantly CCN 14915/Fixed Point Utilities System.  Majority of these systems provide Electric Power (FLEDS - Flight Line Electric Distribution System) for aircraft, usually for start up. MEPPS (Mobile Electric Power Plants) are not included as these are generally not Real Property.  </t>
  </si>
  <si>
    <t>CABLE TERMINATION, 15 kV, 2/0 solid to 350 kcmil stranded</t>
  </si>
  <si>
    <t>Backfill and Compaction, Dozer Backfill, Sheepsfoot Roller Compaction in 12" Layers</t>
  </si>
  <si>
    <t>Average Facility Size derived from 2022 RPAD (225 Asset Allocations):  [100 FT x 69 FT] /767 SY</t>
  </si>
  <si>
    <t>Unreinforced Conc Pavement, 4500 psi, fixed form, unreinforced, 6" thick</t>
  </si>
  <si>
    <t>Base Course, 1-1/2" Crushed Stone, 4" Deep, Compacted, including Material &amp; Transportation, excluding Earthwork</t>
  </si>
  <si>
    <t>Physical Fitness Training Center</t>
  </si>
  <si>
    <t>Academic Instruction Building: Applied Instructions (Hands-on Training) - Large (&gt;35,000 SF)</t>
  </si>
  <si>
    <t>After-Action Review (AAR) Building - Large  (USACE PAX Newsletter 3.2.2, 20 March 2020)</t>
  </si>
  <si>
    <t>Ave</t>
  </si>
  <si>
    <t>Average size extracted from 2022 RPAD (212 assets); average length = 117.7 LF; average width = 81.3 LF.</t>
  </si>
  <si>
    <t>Average Size from 2022 RPAD (12 Assets):  112 FT (length) * 53 SF (width) - 5,936 SF</t>
  </si>
  <si>
    <t>General Purpose Maint Shop</t>
  </si>
  <si>
    <t xml:space="preserve">Average size derived from 2022 RPAD (5 Assets):  50 FT * 30 FT =  (1,500  SF)  </t>
  </si>
  <si>
    <t>Site Clearing &amp; Grading - Fill, dumped material, spread, by dozer, excludes compaction</t>
  </si>
  <si>
    <t>Backfill, 6" to 12" lifts, dozer backfilling, compaction with sheepsfoot roller</t>
  </si>
  <si>
    <t>8" Thick Reinforced Concrete Pavement, 4,500 PSI, 12-FT pass (USACE PAX Newsletter, 31 March 2023)</t>
  </si>
  <si>
    <t>Control Tower - Standard Small Arms (USACE PAX Newsletter, 31 March 2023)</t>
  </si>
  <si>
    <t>Savety Swith, Sused, Single throw, 3=pole, 600-v, 60 Amp; add 20% for weatherproofing</t>
  </si>
  <si>
    <t>Communications Facility (Marshall and Swift Valuation, October 2022)</t>
  </si>
  <si>
    <t>Communications Facility (Marshall and Swift Valuation / October 2022)</t>
  </si>
  <si>
    <t xml:space="preserve">Cost from MILCON project P-670, Construct Jet Engine Test Cell, MCAS New River, FY2008, and MILCON Project MCAS Cherry Point P990 F-35 Engine Test Facility June 2019
</t>
  </si>
  <si>
    <t>RPAD Average Size from 2022 RPAD average facility dimensions (276 FT * 89 FT); 13 Assets.</t>
  </si>
  <si>
    <t>Underground Storage Tanks, fiberglass, double wall, U.L. listed, 8,000 gal cap, incl. manways, slab &amp; holddown straps</t>
  </si>
  <si>
    <t>Above Ground Fuel Storage Tank, Concrete; Includes Pad 8,000 gallon</t>
  </si>
  <si>
    <t>Aboveground Pre-stressed Concrete Tank, Ground Water Storage Tanks (USACE Pax 3.2.2, 25 May 2022)</t>
  </si>
  <si>
    <t>Above Ground Fuel Storage Tank, Concrete; Includes Pad 12,000 gallon (USACE PAX 3.2.2 31 March 2023)</t>
  </si>
  <si>
    <t>Hazardous Waste Storage Bldg - TEMF</t>
  </si>
  <si>
    <t xml:space="preserve">Average size derived from 2022 RPAD (524 Assets):  76 FT * 54 FT =  (4,104 SF)  </t>
  </si>
  <si>
    <t>USACE PAX Newsletter 3.2.2, Multiple Editions</t>
  </si>
  <si>
    <t>Cold Storage Bld w/o Processing</t>
  </si>
  <si>
    <t>POL Storage Bldg - TEMF</t>
  </si>
  <si>
    <t>Controlled Humidity Storage, Installation</t>
  </si>
  <si>
    <t>Controlled Humidity Warehouse</t>
  </si>
  <si>
    <t>Base course drainage layers, crushed aggregate, spread and compacted, 6" deep</t>
  </si>
  <si>
    <t>Reinforced Concrete Pavement, Fixed Form, 4,500 psi, 6"</t>
  </si>
  <si>
    <t>Reinforced Concrete Pavement, Fixed Form, 4,500 psi, 8"</t>
  </si>
  <si>
    <t>General Officer, Grade O7 - O8, CONUS</t>
  </si>
  <si>
    <t xml:space="preserve">Lt Colonel &amp; Major, Grade O4 &amp; O5 / Warrant Officer, 4 Bedrooms </t>
  </si>
  <si>
    <t>CO Grade, Officer, O1-O3; 4 Bedrooms</t>
  </si>
  <si>
    <t>Fine Grading, Granular Subbase fpasses, 6" lifts, riding, sheepsfoot roller</t>
  </si>
  <si>
    <t>1-1/2" Crushed Stone Base to 4" Deep</t>
  </si>
  <si>
    <t>6" Thick, Unreinforced Concrete Pavement, 4,500 PSI</t>
  </si>
  <si>
    <t>CY to SF</t>
  </si>
  <si>
    <t>Playground for Preschool Children, Medium (USACE PAX 3.2.2. 16 May 2016)</t>
  </si>
  <si>
    <t>Playground for Preschool Children, Small (USACE PAX 3.2.2. 16 May 2016)</t>
  </si>
  <si>
    <t>Playground for Youth Center (USACE PAX 3.2.2. 16 May 2016)</t>
  </si>
  <si>
    <t>Site Lighting w/light pole &amp; Light Fixture Assembly, incl ug distr, HP Sodium, 400 watt, aluminum pole, 20' high</t>
  </si>
  <si>
    <t>Site Lighting w/light pole &amp; Light Fixture Assembly, incl ug distr, HP Sodium, 1000 watt, aluminum pole, 40' high</t>
  </si>
  <si>
    <t>Underground Ductbanks, 2-Way, 4" Dia RGS, Encased Burial, including Excavation, Cast-in-Place Concrete, Backfill</t>
  </si>
  <si>
    <t>EA to KV</t>
  </si>
  <si>
    <t>1-1/2 IN ST Supply &amp; 1-1/4 IN CNDS Return, in 10-3/4 IN INSL Case with MH @ 250 FT  O.C.</t>
  </si>
  <si>
    <t>6" IN ST Supply &amp; 3" CNDS Return, in 10-3/4 IN INSL Case with MH @ 250' O.C.</t>
  </si>
  <si>
    <t xml:space="preserve">1-1/2 IN HW &amp; 1-1/4 IN RTN Pipe in 10-3/4 PBS INSL Case </t>
  </si>
  <si>
    <t>2 IN HW &amp; 1-1/4" RTN Pipe in 12-3/4 IN PBS INSL Case</t>
  </si>
  <si>
    <t>3 IN HW &amp; 1-1/2" RTN Pipe in 16 IN PBS INSL Case</t>
  </si>
  <si>
    <t>6" and 3" in 20" case PBS INSL Case</t>
  </si>
  <si>
    <t>Sewage Lift Station, 200 GPM</t>
  </si>
  <si>
    <t>KG=1,000 GPD</t>
  </si>
  <si>
    <t>Utility Distribution Piping, DI pipe, 18' lengths, 6" diameter, class 50, includes excavation and backfill</t>
  </si>
  <si>
    <t>Pipe, plastic, PVC, 6" diameter, schedule 40, includes excavation &amp; backfill, fittings allowance</t>
  </si>
  <si>
    <t>Pipe, HDPE, single wall, straight, welded, based on 40' length, 10" diam., DR 11, includes excavation &amp; backfill</t>
  </si>
  <si>
    <t>Fire Pumps, electric, 1000 GPM, 100 psi, 86 HP, 3550 RPM, 5" pump, incl. controller, fittings &amp; relief valve</t>
  </si>
  <si>
    <t>Fire Pumps, electric, 2000 GPM, 100 psi, 167 HP, 1770 RPM, 6" pump, incl. controller, fittings &amp; relief valve</t>
  </si>
  <si>
    <t>Pumps, diesel, 2000 GPM, 100 psi, 167 HP, 6" pump, incl. controller, fittings &amp; relief valve</t>
  </si>
  <si>
    <t>Pumps, diesel, 2500 GPM, 150 psi, 365 HP, 8" pump, incl. controller, fittings &amp; relief valve</t>
  </si>
  <si>
    <t>KG = Thousand of Gallons per Day</t>
  </si>
  <si>
    <t>2,500 GM to KG</t>
  </si>
  <si>
    <t>Utility Distribution Piping, DI pipe, 18' lengths, 10" diameter, class 50, includes excavation and backfill</t>
  </si>
  <si>
    <t>Water Utility Distribution Fire Hydrants, two way, 4'-6" depth, 4-1/2" valve, includes excavation and backfill</t>
  </si>
  <si>
    <t>hydrants are 1,000 feet apart for estimating purposes</t>
  </si>
  <si>
    <t>Water Pump, 2,000 GPM, 5-IN Electric Pump, 100 PSI, 167 HP, 3,500 RPM, 6" Including Controller, Fittings, &amp; Relief Valve</t>
  </si>
  <si>
    <t>Water Pump, 2,500 GPM, 8-IN Diesel Pump, 100 PSI, 365 HP, Including Controller, Fittings, &amp; Relief Valve, No Building</t>
  </si>
  <si>
    <t>LCY</t>
  </si>
  <si>
    <t>Backfill &amp; Compaction with sheepsfoot Roller</t>
  </si>
  <si>
    <t>Plant Mix Asphalt, 4-IN Thick, Asphalt Concrete Surface Paving Wearing Course</t>
  </si>
  <si>
    <t>2022 RPAD: 15,685 assets (81.6 % Asphalt / 18.4% Concrete)</t>
  </si>
  <si>
    <t>G2023 310 1000</t>
  </si>
  <si>
    <t>Install Metal Guide/Guard Rail incl posts</t>
  </si>
  <si>
    <t>Railroad siding, yard spur, level grade, Wood ties, 100 lb. new rail, incl ballast, clips, angle bars &amp; bolts</t>
  </si>
  <si>
    <t>Fine grading, fine grade for small irregular areas, to 15,000 S.Y.</t>
  </si>
  <si>
    <t>Sidewalk and Walkways, Pedestrian, 3,000 psi, 4" thick, with base</t>
  </si>
  <si>
    <t>Concrete paving for highways and large paved areas, 4500 psi 6" thick</t>
  </si>
  <si>
    <t>Storm Drain Piping, corrugated, galvanized and coated, 16 ga., 12" diameter, includes excavation and backfill</t>
  </si>
  <si>
    <t>Storm Drain Piping, corrugated, galvanized and coated, 16 ga., 18" diameter, includes excavation and backfill</t>
  </si>
  <si>
    <t>Storm Drainage Manholes, Frames, and Covers, concrete, cast in place, 4' x 4', 8" thick, 4' deep, 400 FT o.c.</t>
  </si>
  <si>
    <t>GA in an Acre-Foot</t>
  </si>
  <si>
    <t>Fence, chain link, galvanized steel, 3 strands barb wire, 2" posts @ 10' OC, 6' high, includes excavation, &amp; concrete</t>
  </si>
  <si>
    <t>Fence, chain link, galvanized steel, 3 strands barb wire, 2" posts @ 10' OC,8' high, includes excavation, &amp; concrete</t>
  </si>
  <si>
    <t>Fence, chain link, galvanized steel, 3 strands barb wire, 2" posts @ 10' OC, 10' high, includes excavation, &amp; concrete</t>
  </si>
  <si>
    <t>Add Gate, Chain Link, Incl Excav &amp; Conc, 1 per 500 LF 8' high fence, 1-5/8" frame, 3' wide</t>
  </si>
  <si>
    <t>Add Fence, chain link, double swing gates, 8' high, 10' opening, inclexc, posts &amp; hardware 1 per 1,000 LF</t>
  </si>
  <si>
    <t>Add Fence, chain link industrial, slide gate, 6' high, 36' opening, includes excavation 1 per 2,000 LF</t>
  </si>
  <si>
    <t>Motor operator for fence gate (chain link industrial, slide gate, 6' high, 36' opening) 1 per 2,000 LF</t>
  </si>
  <si>
    <t>Helical razor tape, stainless steel, 18" dia. X 18" spacing</t>
  </si>
  <si>
    <t>CLF</t>
  </si>
  <si>
    <t>CLF to LF</t>
  </si>
  <si>
    <t>Base course drainage layers, bank run gravel, spread and compacted, 12" deep, no earthwork included</t>
  </si>
  <si>
    <t>Asphalt Paving, plant mixed bituminous concrete, 6" thick, no earthwork included</t>
  </si>
  <si>
    <t>Drainage Laterals, pipe, PVC, 4" diameter, schedule 40, includes excavation &amp; backfill, 4 EA 20 FT lengths for 80 LF total length.</t>
  </si>
  <si>
    <t>Soil preparation, structural soil mixing, spread conditioned topsoil, 4" deep, by hand</t>
  </si>
  <si>
    <t>Pump, sewage ejector, duplex system,174 GPM, .7 H.P., 15' head, 135 gallon, includes tank, cover and pumps</t>
  </si>
  <si>
    <t>Storm Drainage Manholes, Frames, and Covers, concrete, cast in place, 4' x 4', 8" thick, 6' deep, incl excavation, backfill</t>
  </si>
  <si>
    <t>Natural Gas Piping, steel pipe, plain end , 3" diameter, schedule 40, includes excavation and backfill, fittings allowance</t>
  </si>
  <si>
    <t>Fixed-Wing Runway, Surfaced</t>
  </si>
  <si>
    <t>Plain cement concrete pavement, airports, 4500 psi, fixed form, unreinforced, 12' pass, 16" thick, includes joints, finishing, and curing</t>
  </si>
  <si>
    <t>Slip form cement concrete pavement, airports, 4500 psi, unreinforced, 12' pass, 16" thick, includes joints, finishing, and curing</t>
  </si>
  <si>
    <t>Slip form cement concrete pavement, airports, 4500 psi, unreinforced, 12' pass, 12" thick, includes joints, finishing, and curing</t>
  </si>
  <si>
    <t>Slip form cement concrete pavement, airports, 4500 psi, unreinforced, 12' pass, 10" thick, includes joints, finishing, and curing</t>
  </si>
  <si>
    <t>ADD for REINFORCING, Plain cement concrete pavement, airports, reinforcing steel bar, 18 lbs per SY, A185</t>
  </si>
  <si>
    <t>Thermoplastic pavement markings, with glass beads, airport pavement, SF, runway, 24 lbs beads per 100 S.F.</t>
  </si>
  <si>
    <t>2022 RPAD inventory segregated into airfield type according to UFC 3-260-02.  Final PUC is a weighted average of Light, Medium, and Heavy runways based on inventory.</t>
  </si>
  <si>
    <t>6% of RW Painted</t>
  </si>
  <si>
    <t>UFC Conversion for Heavy RW</t>
  </si>
  <si>
    <t>UFC Conversion for Medium RW</t>
  </si>
  <si>
    <t> UFC 3-260-01, 04 Feb 2019, with Change 1, 05 May 2020; UFC 3-260-02, 30 June 2001</t>
  </si>
  <si>
    <t>Rotary-Wing Landing Area, Surfaced</t>
  </si>
  <si>
    <t>Backfill, 12" layers, compaction in layers, roller compaction with operator walking, add to above</t>
  </si>
  <si>
    <t>Cycle hauling, excavated or borrow, loose cubic yards, 10 min wait/load/unload, 8 C.Y. truck, cycle 4 miles</t>
  </si>
  <si>
    <t>Fine grading, finish grading granular subbase for highway paving, +/- 1", Compaction , 3 passes, 6" lifts</t>
  </si>
  <si>
    <t>Plant-mix asphalt paving, for highways and large paved areas, wearing course, 3" thick, excludes hauling</t>
  </si>
  <si>
    <t>UFC Conversion for RW RW</t>
  </si>
  <si>
    <t>UFC 3-260-02</t>
  </si>
  <si>
    <t>Surface Treatment, tack coat, emulsion, 0.15 gallons per SY</t>
  </si>
  <si>
    <t>Soil preparation, structural soil mixing, spread conditioned topsoil, 4" deep,</t>
  </si>
  <si>
    <t>Conversion for soil stab</t>
  </si>
  <si>
    <t>UFC Conversion for UAV RW</t>
  </si>
  <si>
    <t>Plain cement concrete pavement, airports, 4500 psi, fixed form, unreinforced, 12' pass, 12" thick, includes joints, finishing, and curing</t>
  </si>
  <si>
    <t>Plain cement concrete pavement, airports, 4500 psi, fixed form, unreinforced, 12' pass, 14" thick, includes joints, finishing, and curing</t>
  </si>
  <si>
    <t>Plain cement concrete pavement, airports, 4500 psi, fixed form, unreinforced, 12' pass, 12" thick, includes</t>
  </si>
  <si>
    <t>12 Strand Fiber Optic Cable with 1/4" PVC inner duct run in ductbank  x 2 for average installation</t>
  </si>
  <si>
    <t>24-strand Fiber Optic Splice Box, including box and 36 cable splices</t>
  </si>
  <si>
    <t>24 Strand Fiber Optic Termination Box, includes box with three splice trays and 36 cable connections</t>
  </si>
  <si>
    <t>MIT / MAT Emplacement (12" concrete wall or concrete bunker 12" concrete, reinforced)</t>
  </si>
  <si>
    <t>Fire Training Tower (Add 45% for thermal insulated tiles)
(6 floors 10' x 10' / floor)</t>
  </si>
  <si>
    <t>Pipe, HDPE, 40' length, 4" diam., includes excavation &amp; backfill, fittings allowance  480' total pipe</t>
  </si>
  <si>
    <t>Aggregate base course for roadways and large paved areas, bank run gravel, spread and compacted, 6" deep 2,500 SY total</t>
  </si>
  <si>
    <t>Agitator,pumps and valves</t>
  </si>
  <si>
    <t>per GA per Day</t>
  </si>
  <si>
    <t>Non-Reinforced Concrete Pope, Extra Strength, Incl Exc and backfill, fittings, 10"</t>
  </si>
  <si>
    <t>Non-Reinforced Concrete Pope, Extra Strength, Incl Exc and backfill, fittings, 18"</t>
  </si>
  <si>
    <t>Manholes, Frames, and Covers, concrete, cast in place, 4' x 4', 8" thick, 6' deep, includes e&amp;b 500' apart</t>
  </si>
  <si>
    <t>Average dimensions in the 2022 RPAD (37 assets):  Height: 11.9 FT; Length: 751 FT; Width: 21.2 FT.  Average Quantity: 15,104 SF.  Road surface and/or sidewalks not included in PUC.</t>
  </si>
  <si>
    <t>Backfill and compaction, unconfined, medium earth</t>
  </si>
  <si>
    <t>Assume dike is a trapezoid; 10 FT top, 15 FT sides, 34 FT base.  1 side exposed to water.  198 CF/LF    7.33 CY/LF</t>
  </si>
  <si>
    <t>Mechanical Building, Class C,D,S (Marshall and Swift Valuation, October 2017)</t>
  </si>
  <si>
    <t>Craneway, 10 Ton, 75 LF</t>
  </si>
  <si>
    <t>Overhead door, roll-up, 10x12 ft</t>
  </si>
  <si>
    <t>Overhead door, electrical operator</t>
  </si>
  <si>
    <t>Assumed Size: 9 FT high, 10 FT x 8 FT (720 CF)</t>
  </si>
  <si>
    <t>Utility Vault / Utility Tunnel, Medium Soil, 7” - 10” walls, CF, including lighting and drainage</t>
  </si>
  <si>
    <t>Storm drainage pond 1/8 acre, 5 feet deep includes fence, seeding slopes, partial liner &amp; excavation (203,657 GA)</t>
  </si>
  <si>
    <t>Concrete fuel storage tank, above ground including pad, 12,000 gallon</t>
  </si>
  <si>
    <t>Per 2022 RPAD, 15% of assets are tank type storage, 85% are open pond/basin stoarge</t>
  </si>
  <si>
    <t>Seawall, concrete, precast, 5” - 6”, including ties or piling  Large Commercial Project, wet conditions</t>
  </si>
  <si>
    <t>Large Reduction &amp; Wet Increase</t>
  </si>
  <si>
    <t>Ship and boat docks, heavy, 4" decking, Average piling, including fenders, railings, utilities; exclusive of buildings</t>
  </si>
  <si>
    <t>Sheeting, bulkheads, steel, 27# average 10' high 20' total; 200 SF</t>
  </si>
  <si>
    <t>66/6</t>
  </si>
  <si>
    <t>Gunnite Pool, 25 M x 50 M = 13,455 SF Surface Area</t>
  </si>
  <si>
    <t>Add for automatic sanitation system, chlorinator</t>
  </si>
  <si>
    <t>Poured Concrete Pond, over 2,000 to 4,000 SF, 3,000 SF Total Pond</t>
  </si>
  <si>
    <t>Pond SF to FFT SF</t>
  </si>
  <si>
    <t>Soil preparation, structural soil mixing, spread soil conditioners, fertilizer, 0.2#/S.Y., tractor spreader</t>
  </si>
  <si>
    <t>MSF</t>
  </si>
  <si>
    <t>MSF to AC</t>
  </si>
  <si>
    <t>Fine grading, subbase +/- 1", Compaction , 3 passes, 6" lifts, riding roller</t>
  </si>
  <si>
    <t>SY to AC</t>
  </si>
  <si>
    <t>Seeding athletic fields, seeding fescue, tall, 5.5 lb. per M.S.F., tractor spreader</t>
  </si>
  <si>
    <t>Underground sprinklers irrigation system, for lawns, residential system, custom, 1-1/2" supply</t>
  </si>
  <si>
    <t>UG electrical lines, direct burial, #1/0 3/C 600V copper conductor, 3' including backfill 420 LF</t>
  </si>
  <si>
    <t>LF to AC</t>
  </si>
  <si>
    <t>Total Dock SF</t>
  </si>
  <si>
    <t>Industrial, Heavy (Process) Manufacturing, Class B, Average, including craneways, no elevator &amp; HVAC system</t>
  </si>
  <si>
    <t>Industrials, Heavy (Process) Manufacturing Building, Class A, Average, includes craneway, no elevator</t>
  </si>
  <si>
    <t>Shipping Dock, Structural steel or concrete piers, heavy-duty floor, steel roof structure, good lighting  2,145 SF</t>
  </si>
  <si>
    <t>Dock SF to SF</t>
  </si>
  <si>
    <t>Industrials, Heavy (Process) Manufacturing Building, Class A, Average, includes craneway, no included elevator</t>
  </si>
  <si>
    <t>Shipping dock, structural steel or concrete piers, one 80' x 12' dock (960 SF)</t>
  </si>
  <si>
    <t>Sprinkler, 5,000 SF, Dry System, Average</t>
  </si>
  <si>
    <t>Runway centerline light, bidirectional, semi-flush, w/shallow insert base, 200 W</t>
  </si>
  <si>
    <t>Runway edge light, bidirectional, for base housing, 2-115 W</t>
  </si>
  <si>
    <t>Runway threshold light, bidirectional, 200 W.  200' wide runway + 40' on both sides</t>
  </si>
  <si>
    <t>Per UFC 3-535-01:
Centerline lights are spaced 50' apart.
Edge lights are max 200' apart
Threshold Lights are 5' apart</t>
  </si>
  <si>
    <t>Touchdown zone light, unidirectional, w/shallow insert base, 200 W  60 rows total, 6 lights per row</t>
  </si>
  <si>
    <t>PACES Input Parameters:
Area Cost Factor (ACF) = 1.00
Midpoint of Construction: 1 October 2022
SIOH =  0 %, Contingency = 0 %, Planning and Design = 0 %</t>
  </si>
  <si>
    <t xml:space="preserve">USACE PAX Newsletter 3.2.2, Multiple Editions                                        </t>
  </si>
  <si>
    <t>Ammunition Breakdown Building, PAX 3.2.2  25 May 2022</t>
  </si>
  <si>
    <t xml:space="preserve">USACE PAX Newsletter 3.2.2, 25 May 2022                                                       </t>
  </si>
  <si>
    <t xml:space="preserve">USACE PAX Newsletter 3.2.2, 31 March 2023                                             </t>
  </si>
  <si>
    <t>EA to GA  Conversion</t>
  </si>
  <si>
    <t>PACES Input Parameters:
Area Cost Factor (ACF) = 1.00
Midpoint of Construction: 1 October 2022
SIOH =  0 %  / Contingency = 0 % / Planning and Design = 0 %</t>
  </si>
  <si>
    <t>PACES Input Parameters:
Area Cost Factor (ACF) = 1.00
Midpoint of Construction: 1 October 2022
SIOH =  0 %
Contingency = 0 %
Planning and Design = 0 %</t>
  </si>
  <si>
    <t>Per OL</t>
  </si>
  <si>
    <t>Arm, Marine Loading</t>
  </si>
  <si>
    <t>Earthwork/Conc, 6" Pipe</t>
  </si>
  <si>
    <t xml:space="preserve">Utility vaults, meter pit, precast concrete, 6' x 6', 15' </t>
  </si>
  <si>
    <t>SubBid</t>
  </si>
  <si>
    <t>G3060032501</t>
  </si>
  <si>
    <t>G3060047201</t>
  </si>
  <si>
    <t>Tank, 298100 L (2500 bbl), Vertical Abv Grd Tank</t>
  </si>
  <si>
    <t>Dispenser/Piping, Mogas,</t>
  </si>
  <si>
    <t>G3060032006</t>
  </si>
  <si>
    <t>G3060032106</t>
  </si>
  <si>
    <t>G3060032206</t>
  </si>
  <si>
    <t>G3060032306</t>
  </si>
  <si>
    <t>G3060032406</t>
  </si>
  <si>
    <t>G3060032567</t>
  </si>
  <si>
    <t>Earthwork, Steel Double Wall Und Grd Tank</t>
  </si>
  <si>
    <t>Concrete, Steel Double Wall Und Grd Tank</t>
  </si>
  <si>
    <t>Pipes And Fittings, Steel Double Wall Und Grd Tank</t>
  </si>
  <si>
    <t>Electrical, Steel Double Wall Und Grd Tank</t>
  </si>
  <si>
    <t>Controls, Steel Double Wall Und Grd Tank</t>
  </si>
  <si>
    <t>Tank, 37900 L (10000 gal), Undgrd, Steel, Dbl Wall</t>
  </si>
  <si>
    <t>G3060032002</t>
  </si>
  <si>
    <t>G3060032102</t>
  </si>
  <si>
    <t>G3060032202</t>
  </si>
  <si>
    <t>G3060032302</t>
  </si>
  <si>
    <t>G3060032402</t>
  </si>
  <si>
    <t>G3060032521</t>
  </si>
  <si>
    <t>G3060032704</t>
  </si>
  <si>
    <t>G3060032707</t>
  </si>
  <si>
    <t>G3060032901</t>
  </si>
  <si>
    <t>Earthwork, Horiz. Single Wall Steel Tank</t>
  </si>
  <si>
    <t>Concrete, Horiz. Single Wall Steel Tank</t>
  </si>
  <si>
    <t>Pipes And Fittings, Horiz. Single Wall Steel Tank</t>
  </si>
  <si>
    <t>Electrical, Horiz. Single Wall Steel Tank</t>
  </si>
  <si>
    <t>Controls, Horiz. Single Wall Steel Tank</t>
  </si>
  <si>
    <t>Tank, 56800 L (15000 gal)), Horiz., Steel, Single  Wall</t>
  </si>
  <si>
    <t>Stone Covered Liner Basin</t>
  </si>
  <si>
    <t>Stone Covered .915M (3') Berm</t>
  </si>
  <si>
    <t>Teflon Tank Coating</t>
  </si>
  <si>
    <t>Sub Bid</t>
  </si>
  <si>
    <t>G3060024012</t>
  </si>
  <si>
    <t>6" Carbon Steel Pipe, SCH 40</t>
  </si>
  <si>
    <t>Gen. Purpose Magazine w/o Crane</t>
  </si>
  <si>
    <t>Underground Storage Tanks, 20,000 gal cap, incl. manways, slab (USACE PAX 3.2.2 31 March 2023)</t>
  </si>
  <si>
    <t>GP Warehouse, Low-Bay, Up to 16' Stack height, &gt;15,000 SF</t>
  </si>
  <si>
    <t>Avreage</t>
  </si>
  <si>
    <t>FY2022 PUC</t>
  </si>
  <si>
    <t>AFCESA, Cost Handbook 2003</t>
  </si>
  <si>
    <t>AFCESA Cost Handbook FY1999</t>
  </si>
  <si>
    <t>AFCESA Data, FY 2000</t>
  </si>
  <si>
    <t>141173 
141912</t>
  </si>
  <si>
    <t>Set Equal to FAC 1452</t>
  </si>
  <si>
    <t>FAC 1452</t>
  </si>
  <si>
    <t xml:space="preserve">Navy Reported Replacement Value - FY2000 </t>
  </si>
  <si>
    <t>PUC is based upon a study conducted for Commander, Navy Installations Command (CNIC) in FY2009, which appears below in full.   In the 2022 RPAD, there are 296 assets in FAC 1511, with an average size of 5,473 SY.</t>
  </si>
  <si>
    <t xml:space="preserve">Service Reported PRV </t>
  </si>
  <si>
    <t>MTMC Stony Point Data FY 2000</t>
  </si>
  <si>
    <t>Service Reported PRV</t>
  </si>
  <si>
    <t xml:space="preserve">FY22 PUC </t>
  </si>
  <si>
    <t xml:space="preserve">Service-provided PRV </t>
  </si>
  <si>
    <t xml:space="preserve">Air Force provided data in 2003                                              </t>
  </si>
  <si>
    <t>Construction of new Wind Tunnel FY21</t>
  </si>
  <si>
    <t>NASA Construction Data, FY21</t>
  </si>
  <si>
    <t>FY22 PUC</t>
  </si>
  <si>
    <t>WHS-reported Construction Cost</t>
  </si>
  <si>
    <t>Outdoor Recreation Area, FY22 PUC</t>
  </si>
  <si>
    <t>Fairfax County VA Park Authority</t>
  </si>
  <si>
    <t xml:space="preserve"> Section</t>
  </si>
  <si>
    <t>66/10</t>
  </si>
  <si>
    <t>Paving, asphalt, reinforced, 4" - 6" thick</t>
  </si>
  <si>
    <t>Industry Study, 2023</t>
  </si>
  <si>
    <t>Price List from Rome Monument CO, Rochester, PA 2023 Brochure</t>
  </si>
  <si>
    <t>Premium Upright Monument</t>
  </si>
  <si>
    <t>1 assets in the 2022 RPAD</t>
  </si>
  <si>
    <t>Sewage Treatment Plant, Medium, 500k GPD, high cost</t>
  </si>
  <si>
    <t>Army Public Works Technical Bulletin
(PWTB) 200-1-68, 31 December 2009</t>
  </si>
  <si>
    <t>Railroad Bridge, FY22 PUC</t>
  </si>
  <si>
    <t>American Segmental Bridge Institute</t>
  </si>
  <si>
    <t>R&amp;K research paper for Navy CNIC, August 2011</t>
  </si>
  <si>
    <t>UFC 3-550-01, September 2016, with Change 3, 01 November 2019</t>
  </si>
  <si>
    <t xml:space="preserve">PACES Input Parameters:
Project Location = Fort Myer, VA (ACF= 1.00)
Midpoint of Construction: 1 October 2022
SIOH =  0 % / Contingency = 0 % / Planning and Design = 0 % </t>
  </si>
  <si>
    <t>Transmission to Distribution Substation, 3 Phase to 3 Phase above ground designed to average RPAD inventory size/rating
PACES Input Parameters:
Project Location = Fort Myer, VA (ACF= 1.00)
Midpoint of Construction: 1 October 2022
SIOH =  0 %
Contingency = 0 %
Planning and Design = 0 %</t>
  </si>
  <si>
    <t>Inflated from FY22 to FY23</t>
  </si>
  <si>
    <t>Set equal to FAC 8811</t>
  </si>
  <si>
    <t>Set Equal to FAC 8714</t>
  </si>
  <si>
    <t>Set Equal to FAC 1121</t>
  </si>
  <si>
    <t>Set Equal to FAC 1131</t>
  </si>
  <si>
    <t>Set Equal to FAC 1114</t>
  </si>
  <si>
    <t>Set Equal to FAC 1511, Pier</t>
  </si>
  <si>
    <t>Aggregate base course for roadways and large paved areas, compacted, crushed 1-1/2" stone base, to 6" deep,</t>
  </si>
  <si>
    <t>UFC 4-214-03, 17 March 2018</t>
  </si>
  <si>
    <t>Grease Rack (PAX Newsletter, 4 Jan 2011)</t>
  </si>
  <si>
    <t xml:space="preserve">USACE PAX Newsletter 3.2.2, Multiple Editions                        </t>
  </si>
  <si>
    <t>USACE PAX Newsletter 3.2.2, 31 March 2023 
RS Means Costworks 2022Q3</t>
  </si>
  <si>
    <t>Set Equal to FAC 8714 
with Size of 500 LF</t>
  </si>
  <si>
    <t>Set Equal to FAC 8714 
with Size of 400 LF</t>
  </si>
  <si>
    <t>Aircraft Weapons Range</t>
  </si>
  <si>
    <t>Land</t>
  </si>
  <si>
    <t>Land Rights</t>
  </si>
  <si>
    <t>Control/Observation Tower (USACE Pax 3.2.2, 25 May 2022)</t>
  </si>
  <si>
    <t>Assumed Size: 1500 SF</t>
  </si>
  <si>
    <t>Natural Gas Piping, steel pipe, plain end , 4" diameter, schedule 40, includes excavation and backfill</t>
  </si>
  <si>
    <t>Natural Gas Piping, steel pipe, plain end , 1" diameter, schedule 40, includes excavation and backfill</t>
  </si>
  <si>
    <t>Natural Gas Piping, steel pipe, plain end , 1" diameter, schedule 40, includes excavation and backfill, fittings allowance</t>
  </si>
  <si>
    <t>Freeze Proof Multi-Nozzle</t>
  </si>
  <si>
    <t>There is no inventory in 2022 RPAD for this FAC; assumed dimensions are 50' x 100'</t>
  </si>
  <si>
    <t>PUC is based upon a study conducted for Commander, Navy Installations Command (CNIC) in FY2009, which appears below in full.  Under the direction of CNIC, the replacement unit cost for FAC 1512 is set equal to FAC 1511.   In the 2022 RPAD, there are 361 assets in FAC 1512, with an average size of 4,983 SY.</t>
  </si>
  <si>
    <t>All areas above are gross size and derived from the 2022  Real Property Assets Database (RPAD)</t>
  </si>
  <si>
    <t>2023 Elevator Business Rule</t>
  </si>
  <si>
    <t>Area Adjustment
M&amp;S/DoD ACF</t>
  </si>
  <si>
    <t>PUC with Military Cost Premium.</t>
  </si>
  <si>
    <t>Operations/Storage Bld - Small</t>
  </si>
  <si>
    <t>AVE</t>
  </si>
  <si>
    <t>Storage Building, Unheated</t>
  </si>
  <si>
    <t>Piling, Steel Pipe, Concrete filled, 10",12' deep, 8 Each with Setup Cost</t>
  </si>
  <si>
    <t>Marshall &amp; Swift Valuation, October 2022;
USACE PAX Newsletter 3.2.2, 31 March 2023;</t>
  </si>
  <si>
    <t>USACE PAX Newsletter 3.2.2, 4 Jan 2011;
MILCON Projects</t>
  </si>
  <si>
    <t>WHS CATCODE is 219252, Engineer Maintenance Facility/Remote Delivery Facility</t>
  </si>
  <si>
    <t>General Admin Building, High-Rise</t>
  </si>
  <si>
    <t>Facilities designed for industrial, storage, or medical purposes, except those in Class A.  FACs in 1000, 2000, 3000, 4000, and 5000 series.  FAC 7242</t>
  </si>
  <si>
    <t>Cost from MILCON project DD Form 1354; constructed in 2008.  
Area adjustment =  2023 DoD Area Cost Factor for Arlington, VA. (1.05).
184 Memorial Units (EA) at the Pentagon Memorial.</t>
  </si>
  <si>
    <t>Average size 5,984 CY extracted from 2022 RPAD</t>
  </si>
  <si>
    <t>Escalation Rate
for FY2024 PUCs
(Note 4)</t>
  </si>
  <si>
    <r>
      <t xml:space="preserve">Notes from Table 4-2, </t>
    </r>
    <r>
      <rPr>
        <b/>
        <i/>
        <sz val="11"/>
        <rFont val="Calibri"/>
        <family val="2"/>
        <scheme val="minor"/>
      </rPr>
      <t xml:space="preserve">Military Construction Escalation Rates, </t>
    </r>
    <r>
      <rPr>
        <b/>
        <sz val="11"/>
        <rFont val="Calibri"/>
        <family val="2"/>
        <scheme val="minor"/>
      </rPr>
      <t>UFC 3-701-01, 20 March 2024</t>
    </r>
  </si>
  <si>
    <t>Note 3:  Inflation rates for military construction budget authority per "Inflation Guidance – Fiscal Year (FY) 2025 President's Budget"  published by USD (Comptroller) on 18 December 2023.</t>
  </si>
  <si>
    <t>NA;  GUCs are as of October 2023</t>
  </si>
  <si>
    <t>Table 2, UFC 3-701-1, 20 March 2024</t>
  </si>
  <si>
    <t>COMM CABLING, FIBER/COPPER A/G</t>
  </si>
  <si>
    <t>COMM CABLING UNDERWATER/MARINIZED</t>
  </si>
  <si>
    <t>GROUND COMBAT TRAINING STRUCTURES</t>
  </si>
  <si>
    <t>BATTERY ENERGY STORAGE SYSTEM</t>
  </si>
  <si>
    <t>COMM CABLING, FIBER/COPPER B/G</t>
  </si>
  <si>
    <t>Aircraft Ops Facility Without Tower</t>
  </si>
  <si>
    <t>Airfield Fire &amp; Rescue Station</t>
  </si>
  <si>
    <t>Control Tower (Stand-Alone)</t>
  </si>
  <si>
    <t>Headquarters/Operations Buildings: Brigade/Division Wing HQ (Upper Level)</t>
  </si>
  <si>
    <t>Table 2, UFC 3-701-1, 20 March 2024 
USACE PAX Newsletter 3.2.2, 20 March 2009</t>
  </si>
  <si>
    <t>Unaccompanied Personnel Housing, Officers Quarters (does not include kitchenette equipment)</t>
  </si>
  <si>
    <t>USACE PAX Newsletter 3.2.2, 31 March 2024</t>
  </si>
  <si>
    <t>Marshall and Swift Valuation, October 2023</t>
  </si>
  <si>
    <t>Divided by 2024 DoD ACF for Arlington, VA</t>
  </si>
  <si>
    <t>Range Classroom Building (USACE PAX Newsletter 3.2.2, 31 March 2024)</t>
  </si>
  <si>
    <t>Operations/Storage Building, Small, PAX 3.2.2 31 March 2024</t>
  </si>
  <si>
    <t>Range Classroom Building PAX 3.2.2  31 March 2024</t>
  </si>
  <si>
    <t>Covered Mess - Range (Small)  PAX 3.2.2  31 March 2024</t>
  </si>
  <si>
    <t>Wash Platform (PAX Newsletter 31 March 2024)</t>
  </si>
  <si>
    <t>Aircraft Maintenance Hangar, General Purpose, up to 40 FT high (USACE PAX Newsletter, 31 March 2024)</t>
  </si>
  <si>
    <t>Aircraft Component Repair Shop (USACE PAX Newsletter, 31 March 2024)</t>
  </si>
  <si>
    <t>Playground for Preschool Children, Large (USACE PAX 3.2.2. 31 March 2024)</t>
  </si>
  <si>
    <t>Industrials, Heavy (Process) Manufacturing, Class C Mill, Average (Deduct $3.15 for no included elevator)</t>
  </si>
  <si>
    <t>Industrials, Heavy (Process) Manufacturing, Class A, Average, including craneway (Deduct $3.15 for no included elevator)</t>
  </si>
  <si>
    <t xml:space="preserve">Industrials, Light Manufacturing, Class B, Average, including elevator; no craneway included (Deduct $3.01 for no included elevator) </t>
  </si>
  <si>
    <t>Dormitory, Class C, Average</t>
  </si>
  <si>
    <t>Carwash Canopy, Class CDS, Average</t>
  </si>
  <si>
    <t>Self-Serve Car Wash, Class C, Average</t>
  </si>
  <si>
    <t>Outdoor Kennel Run, $ per SF (Wire Mesh on Steel Posts [Wall Area]), 20 FT *40 FT Enclosure, 8 FT high, 960 SF</t>
  </si>
  <si>
    <t>Outdoor Kennel Run, Mesh Cover (Roof Area), 800 SF</t>
  </si>
  <si>
    <t>Course/EA</t>
  </si>
  <si>
    <t>MISSILE PROOF SHELTER AND OBSERVATION BUNKER</t>
  </si>
  <si>
    <t>Emergency Operations Center</t>
  </si>
  <si>
    <t>Observation &amp; Training Tower</t>
  </si>
  <si>
    <t>Per the 2024 RPCS, "LF" are measured from the base to the top of the roof of the tower.</t>
  </si>
  <si>
    <t xml:space="preserve">USACE PAX Newsletter 3.2.2, 31 March 2024                                   </t>
  </si>
  <si>
    <t>Control Tower - Standard Small Arms</t>
  </si>
  <si>
    <t>Light &amp; Heavy Demolition Range</t>
  </si>
  <si>
    <t>Total Berm, 520 M x 3 M x 2 M  / Backfill &amp; compaction</t>
  </si>
  <si>
    <t xml:space="preserve">Blast Wall 100 M (100 M x 2 M = 239 SY), 10" thick fixed form reinforced concrete wall </t>
  </si>
  <si>
    <t>SY per EA</t>
  </si>
  <si>
    <t xml:space="preserve">Steel / Timber Cutting Chamber x 4 EA (40 LF x 40 LF x 5 LF), 10" fixed form reinforced concrete  </t>
  </si>
  <si>
    <t>CY per CM</t>
  </si>
  <si>
    <t>Design Sources include:
TC 25-8
USACE Range Design Guide
Bunker is excluded as MPS is acounted for by FAC 1735.</t>
  </si>
  <si>
    <t>Ambulance Building</t>
  </si>
  <si>
    <t>14/36</t>
  </si>
  <si>
    <t>Heating and Cooling Refinement for Garages, Warm and cool air (zoned)</t>
  </si>
  <si>
    <t>Solar Module, 300 W, High Cost, non-tracking</t>
  </si>
  <si>
    <t>Charge Controller, 60 amp, 4 each for array, High Cost</t>
  </si>
  <si>
    <t>4 EA to KW</t>
  </si>
  <si>
    <t>Transfer switch, (AC), 240 amp, high cost</t>
  </si>
  <si>
    <t>DC fast / Lvl 3</t>
  </si>
  <si>
    <t>ICF Study Average for Level 2 Chargers, 2022</t>
  </si>
  <si>
    <t>ICF Study Average for Level 3 Chargers, 2022</t>
  </si>
  <si>
    <t>Multiple Industry Studies</t>
  </si>
  <si>
    <t>Non-networked, 2019</t>
  </si>
  <si>
    <t>Networked, 2019</t>
  </si>
  <si>
    <t>Networked 50 kW, 2019</t>
  </si>
  <si>
    <t>Networked 150 kW, 2019</t>
  </si>
  <si>
    <t>Networked 350 kW, 2019</t>
  </si>
  <si>
    <t xml:space="preserve">Notes: Based on Industry data, population weighting is 10% Level I, 75% Level II, 15% Level III
Primary Source: Estimating electric vehicle charging  infrastructure costs across major U.S. metropolitan areas by Michael Nicholas, 2019
Alternate Source: ICF Study, Sam Pournazeri, 2022
</t>
  </si>
  <si>
    <t>Seawall Concrete, Precast, 5” - 6” including ties or piling, wet condition placement</t>
  </si>
  <si>
    <t>Seawall, Steel pipe, concrete filled, 24" cost of piles, driving and set up, wet condition placement</t>
  </si>
  <si>
    <t>Groin, Riprap, 12' Wide x 8' Tall, shore protection</t>
  </si>
  <si>
    <t>1-WAY-3" PVC - underground duct banks, type EB, 1 @ 3" diameter, includes excavation, backfill and cast in place concrete, fittings allowance</t>
  </si>
  <si>
    <t>1" PVC conduit, #10-3 strand copper wire, underground - in conduit, includes excavation and backfill, fittings allowance</t>
  </si>
  <si>
    <t>Wighted Average based on DoD Comm Line inventoy being 53% fiber and 47% copper</t>
  </si>
  <si>
    <t>PACES Input Parameters:
Area Cost Factor (ACF) = 1.00
Midpoint of Construction: 1 October 2023
SIOH =  0 %, Contingency = 0 %, Planning and Design = 0 %</t>
  </si>
  <si>
    <t>As 18 of 19 RPAD assets are towers, PUC is modeled as a manned tower</t>
  </si>
  <si>
    <t>CIDC Field Operations Bldg</t>
  </si>
  <si>
    <t>Concrete trench for steam / hot water condensate piping. 18" deep X 24" wide x 6" thick walls w/ concrete cover</t>
  </si>
  <si>
    <t>Cable terminations, outdoor systems, 15 kV, #1 solid to 4/0 stranded, 6 EA</t>
  </si>
  <si>
    <t>Substation, Load Interupter switch, 2 position, 300 kva, 600 amp, NEMA1, 2 EA</t>
  </si>
  <si>
    <t>Organizational Vehicle Parking</t>
  </si>
  <si>
    <t>Kennel - Military Working Dog</t>
  </si>
  <si>
    <t>Physical Fitness Facility</t>
  </si>
  <si>
    <t>Research/Laboratory Facility</t>
  </si>
  <si>
    <t>Vet Clinic</t>
  </si>
  <si>
    <t>Aircraft Component Repair Shop (Machine Shop)</t>
  </si>
  <si>
    <t>Loading Dock, Bi-Level (Also called Loading Ramp)</t>
  </si>
  <si>
    <t>Field Latrine - Dry Type, Aerated Vault</t>
  </si>
  <si>
    <t>Field Latrine -Wet Closet</t>
  </si>
  <si>
    <t>Grounod Storage Tank, Above Ground, Prestressed Concrete Tank, 100,000 GA</t>
  </si>
  <si>
    <t>Grounod Storage Tank, Above Ground, Prestressed Concrete Tank, 250,000 GA</t>
  </si>
  <si>
    <t>Utility tunnel, 5" - 7" wall, medium soil, 3 FTx 5 FT cross-section</t>
  </si>
  <si>
    <t>Utility tunnel, 7" -10" wall, medium soil, 5 FT x 7 FT cross-section</t>
  </si>
  <si>
    <t>Plant-mix asphalt paving, for highways and large paved areas, wearing course, 2" thick, no earthwork included</t>
  </si>
  <si>
    <t>Backfill &amp; Compaction with sheepsfoot Roller, 12" lifts</t>
  </si>
  <si>
    <t>Average of concrete and asphalt wearing surface</t>
  </si>
  <si>
    <t>Concrete Foundation Wall, 12" Thick reinforced, SF</t>
  </si>
  <si>
    <t>Pedestrian bridge, concrete</t>
  </si>
  <si>
    <t>Pipe, plastic, high density polyethylene (HDPE), single wall, straight, welded, based on 40' length, 12" diam., includes excavation &amp; backfill, fittings allowance</t>
  </si>
  <si>
    <t>Pipe, plastic, fiberglass, filament wound, general service, 3" diameter, includes excavation &amp; backfill, fittings allowance</t>
  </si>
  <si>
    <t>5 MGD</t>
  </si>
  <si>
    <t>Study, Gunnar Herber, 2024</t>
  </si>
  <si>
    <t>.5 MGD</t>
  </si>
  <si>
    <t>5 MGD to KG</t>
  </si>
  <si>
    <t>.5 MGD to KG</t>
  </si>
  <si>
    <t>WaterReuse Association White Paper, 2012</t>
  </si>
  <si>
    <t>Chunke Desal Commercial SWRO Systems, 2022</t>
  </si>
  <si>
    <t>10 MGD</t>
  </si>
  <si>
    <t>10 MGR to KG</t>
  </si>
  <si>
    <t>Sheet Piling, Steel Panel</t>
  </si>
  <si>
    <t>Assume levee is a trapezoid; 15 FT top, 13 FT sides, 33 FT base.  1 side exposed to water.  240 CF/LF    8.89 CY/LF
Capped with a Sheet Piling Wall</t>
  </si>
  <si>
    <t>Communications Center</t>
  </si>
  <si>
    <t>Data Processing Area Facility (Includes Admin and Storage)</t>
  </si>
  <si>
    <t>Runway centerline light, bidirectional, flush, w/shallow insert base, 200 W</t>
  </si>
  <si>
    <t>Runway edge &amp; threshold light, bidirectional, for base housing, 200 W</t>
  </si>
  <si>
    <t>Threshold &amp; approach light, unidirectional, for base housing, 200 W</t>
  </si>
  <si>
    <t>Centerline lights are spaced 50' apart, Edge lights are max 200' apart
Threshold Lights are 5' apart
UFC 3-535-01, with Change 4, 25 April 2023</t>
  </si>
  <si>
    <t>Floodlights, per fixture, high–pressure sodium, 2 EA</t>
  </si>
  <si>
    <t>Grounding rod, complete, up to 10’ conductor cable, averge, incl 40' of addl grounding cable</t>
  </si>
  <si>
    <t>Pump Bld for Vehicle Wash Rack</t>
  </si>
  <si>
    <t>Concrete paving for highways and large paved areas, 4500 psi, fixed form, unreinforced, 12' pass, 12" thick, includes joints, finishing, and curing</t>
  </si>
  <si>
    <t>Weighted Ave</t>
  </si>
  <si>
    <t xml:space="preserve">In the 2022 RPAD, FAC 1499 (2,610 total assets) is comprised primarily of two asset categories (bunkers/safety shelters [871] and towers [1,490]) with 2,361 assets (90.5%) in those categories in the following CATCodes: • Air Force 149411, Bunker (144 assets); Army 14181, Safety Shelter (662 assets); and Army 14925, Fighting Position (65 assets)
• Army 14940, Tower (1,076 assets); WHS 149400 (1 asset); Air Force 149965, RADAR Tower (43 assets); Air Force 149968, Special Tower (263 assets); Air Force 872845, Security Guard Tower (107 assets) 
</t>
  </si>
  <si>
    <t>Gabions filled with stone, assume 3ft wide</t>
  </si>
  <si>
    <t>Communications Cabling, Fiber/Copper Above Ground</t>
  </si>
  <si>
    <t>Broadband Tech Opportunity Program NTIA Bid, 2023, Flagstaff</t>
  </si>
  <si>
    <t>Bonelinks Article, "Aerial Fiver Cable Installation Guide; 2023</t>
  </si>
  <si>
    <t>Digital Infrastructure, Fiber Optic Network Construction; 2024</t>
  </si>
  <si>
    <t>CTC Tech and Energy Cost Estimate for FTTP Network Construction, City of Santa Cruz, 2015</t>
  </si>
  <si>
    <t>Department of Commerse "Broadband 101"; 2022</t>
  </si>
  <si>
    <t>Fiber Broadband Association Fiber Deployment Annual Report; 2023</t>
  </si>
  <si>
    <t>Note:  Studies are a mix of new aerial networks, and costs to lash new fiber to existing ariel networks.</t>
  </si>
  <si>
    <t>Communications Cabling, Fiber/Copper Below Ground</t>
  </si>
  <si>
    <t>12 Strand Fiber Optic Cable with 1/4" PVC inner duct run in ductbank</t>
  </si>
  <si>
    <t>LF to MI</t>
  </si>
  <si>
    <t>12 Strand Fiber Optic Splice Box, includes box and 12 cable splices</t>
  </si>
  <si>
    <t>2-WAY-3" PVC - Underground duct banks ready for concrete fill, PVC, type EB, 6 @ 4" diameter, includes excavation, backfill and cast in place concrete.</t>
  </si>
  <si>
    <t>Kentik, "Diving Deep into Submarine Cables", Gervasi, March 2023</t>
  </si>
  <si>
    <t>KM</t>
  </si>
  <si>
    <t>KM to MI</t>
  </si>
  <si>
    <t>CNET, "The Secret Life of the 500+ Cables ThatRun the Internet", Shankland, Aug 2023</t>
  </si>
  <si>
    <t>Conversion for material only costs are sourced from a Department of Commerce paper (NTIA-REPORT-81-59) that determined material cost is 55% of total installation cost.</t>
  </si>
  <si>
    <t>Navy publication of material cost for Fiber Optic Com Lines, Outside Plant, Marinized, $8.55, 2023</t>
  </si>
  <si>
    <t>Navy publication of material cost for Copper Comm Lines, Outside Plant, Marinized, $8.01, 2023</t>
  </si>
  <si>
    <t>International Business Times, "Underwater Internet Cables: 'Submarine Cable Map'", Neal, 2014</t>
  </si>
  <si>
    <t>Inflated from FY23 to FY24</t>
  </si>
  <si>
    <t>Secure Operational, Storage, and Information Technology Building</t>
  </si>
  <si>
    <t>Sensitive Compartmented Info Fac (SCIF)</t>
  </si>
  <si>
    <t>Missile Proof Shelter (MPS) and Observation Bunker (OB)</t>
  </si>
  <si>
    <t>Marshall &amp; Swift Valuation, October 2023;
USACE PAX 3.2.2, 20 March 2009</t>
  </si>
  <si>
    <t>Underground Hardened Administrative Facility (USACE PAX Newsletter, 20 March 2009)</t>
  </si>
  <si>
    <t>64/9</t>
  </si>
  <si>
    <t>Guard House, 200 SF, non-weatherized, bullet resistant Level 4 (Marshall &amp; Swift Valuation, October 2023)</t>
  </si>
  <si>
    <t>Ground Combat Training Structures</t>
  </si>
  <si>
    <t>Model Size</t>
  </si>
  <si>
    <t>Marshall &amp; Swift Valuation, October 2023;
USACE PAX Newsletter 3.2.2, 31 March 2024</t>
  </si>
  <si>
    <t>Comcrete pad, 400 SF ( 8" thick with Rebar), 2 per range</t>
  </si>
  <si>
    <t>Outlet, Rigid Conduit, Average, with Ground Fault Interrupter</t>
  </si>
  <si>
    <t>Underground Wiring, 2", galvanized rigid duct, plus excavation and backfill (24" burial)</t>
  </si>
  <si>
    <t>Site Grading, Fine Grading for Roadways, Base Course 1,913 SY</t>
  </si>
  <si>
    <t>Bank run gravel, Spread, 533 CY per Range</t>
  </si>
  <si>
    <t>Soil preparation, mulching, wood chips, 2" deep, skid steer loader 2 x multiplyer for 4" depth</t>
  </si>
  <si>
    <t>MSF per Range</t>
  </si>
  <si>
    <t>17/27</t>
  </si>
  <si>
    <t>Farm Utility Storage Shed, D, Low Cost, 900 SF, 2 per range</t>
  </si>
  <si>
    <t>The Range Design Guide is a web-based tool that replaced the range design manuals.  TC 25-8 Training Ranges, 2 November 2021 was also referenced in designing this FAC / PUC.</t>
  </si>
  <si>
    <t>Battery Energy Storage System</t>
  </si>
  <si>
    <t>Location Adjustment</t>
  </si>
  <si>
    <t>US Energy Info Administration; "Battery Storage in the United States: An Update". 2023</t>
  </si>
  <si>
    <t>kW</t>
  </si>
  <si>
    <t>kW to mW</t>
  </si>
  <si>
    <t>NREL Annual Technology Baseline; 2023</t>
  </si>
  <si>
    <t>Govermental studies are normalized for location.
Both NREL and US EIA predict cost of BESS to decline in the coming decade.</t>
  </si>
  <si>
    <t>TC 25-8 Training Ranges, 2 November 2021;
USACE Range Design Guide
https://www.hnc.usace.army.mil/Missions/Installation-Support-and-Programs-Management/Range-and-Training-Land-Program/Range-Design-Guide</t>
  </si>
  <si>
    <t>Multiple Government Studies</t>
  </si>
  <si>
    <t xml:space="preserve">              PUCs are calculated or adjusted to 1 October 2023 (FY24).</t>
  </si>
  <si>
    <t xml:space="preserve">FY2024 Plant Replacement Value (PRV) Unit Cost (PUC) Supporting Documentation  </t>
  </si>
  <si>
    <t xml:space="preserve">              PUC inflation is calculated using UFC 3-701-01, 2 20 March 2024, Table 4-2 "Military Construction Escalation Rates"</t>
  </si>
  <si>
    <t>Range Components Price List - Marshall and Swift Valuation, October 2023
and USACE PAX Newsletter 3.2.2, 31 May 2024</t>
  </si>
  <si>
    <t>Military Cost Premium</t>
  </si>
  <si>
    <t>FAC 1736 is a collection of 18 CATCODEs.  Components for this model represent a composite of these facilities.</t>
  </si>
  <si>
    <t>Divided by 2018 DoD ACF for Arlington, 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</si>
</sst>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_(* #,##0.000_);_(* \(#,##0.000\);_(* &quot;-&quot;??_);_(@_)"/>
    <numFmt numFmtId="168" formatCode="_(* #,##0.0_);_(* \(#,##0.0\);_(* &quot;-&quot;??_);_(@_)"/>
    <numFmt numFmtId="169" formatCode="_(* #,##0.0000_);_(* \(#,##0.0000\);_(* &quot;-&quot;??_);_(@_)"/>
    <numFmt numFmtId="170" formatCode="0.0"/>
    <numFmt numFmtId="171" formatCode="#,##0.0"/>
    <numFmt numFmtId="172" formatCode="0.000"/>
    <numFmt numFmtId="173" formatCode="_(&quot;$&quot;* #,##0_);_(&quot;$&quot;* \(#,##0\);_(&quot;$&quot;* &quot;-&quot;??_);_(@_)"/>
    <numFmt numFmtId="174" formatCode="&quot;$&quot;#,##0.00;[Red]&quot;$&quot;#,##0.00"/>
    <numFmt numFmtId="175" formatCode="_(&quot;$&quot;* #,##0.000_);_(&quot;$&quot;* \(#,##0.000\);_(&quot;$&quot;* &quot;-&quot;??_);_(@_)"/>
    <numFmt numFmtId="176" formatCode="&quot;$&quot;#,##0"/>
    <numFmt numFmtId="177" formatCode="#,##0.0000_);\(#,##0.0000\)"/>
    <numFmt numFmtId="178" formatCode="[$-409]dd\-mmm\-yy;@"/>
    <numFmt numFmtId="179" formatCode="_(* #,##0.0000_);_(* \(#,##0.0000\);_(* &quot;-&quot;????_);_(@_)"/>
    <numFmt numFmtId="180" formatCode="_(&quot;$&quot;* #,##0.0000_);_(&quot;$&quot;* \(#,##0.0000\);_(&quot;$&quot;* &quot;-&quot;????_);_(@_)"/>
    <numFmt numFmtId="181" formatCode="_(* #,##0.00000_);_(* \(#,##0.00000\);_(* &quot;-&quot;??_);_(@_)"/>
    <numFmt numFmtId="182" formatCode="[$$-409]#,##0.00;\([$$-409]#,##0.00\)"/>
    <numFmt numFmtId="183" formatCode="0.0%"/>
    <numFmt numFmtId="184" formatCode="#,##0.0_);\(#,##0.0\)"/>
    <numFmt numFmtId="185" formatCode="&quot;$&quot;#,##0.0000"/>
    <numFmt numFmtId="186" formatCode="#,##0.0000"/>
    <numFmt numFmtId="187" formatCode="_(&quot;$&quot;* #,##0.0000_);_(&quot;$&quot;* \(#,##0.0000\);_(&quot;$&quot;* &quot;-&quot;??_);_(@_)"/>
    <numFmt numFmtId="188" formatCode="#,##0.000"/>
    <numFmt numFmtId="189" formatCode="_(* #,##0_);_(* \(#,##0\);_(* &quot;-&quot;?_);_(@_)"/>
  </numFmts>
  <fonts count="8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Times New Roman"/>
      <family val="1"/>
    </font>
    <font>
      <sz val="8"/>
      <name val="Arial"/>
      <family val="2"/>
    </font>
    <font>
      <sz val="11"/>
      <name val="Calibri"/>
      <family val="2"/>
      <scheme val="minor"/>
    </font>
    <font>
      <sz val="10"/>
      <color indexed="8"/>
      <name val="MS Sans Serif"/>
      <family val="2"/>
    </font>
    <font>
      <b/>
      <sz val="11"/>
      <name val="Calibri"/>
      <family val="2"/>
      <scheme val="minor"/>
    </font>
    <font>
      <b/>
      <sz val="9"/>
      <name val="Calibri"/>
      <family val="2"/>
      <scheme val="minor"/>
    </font>
    <font>
      <sz val="11"/>
      <name val="Calibri"/>
      <family val="2"/>
    </font>
    <font>
      <b/>
      <sz val="10"/>
      <name val="Arial"/>
      <family val="2"/>
    </font>
    <font>
      <i/>
      <sz val="11"/>
      <name val="Calibri"/>
      <family val="2"/>
      <scheme val="minor"/>
    </font>
    <font>
      <vertAlign val="superscript"/>
      <sz val="11"/>
      <name val="Calibri"/>
      <family val="2"/>
      <scheme val="minor"/>
    </font>
    <font>
      <sz val="10"/>
      <name val="Calibri"/>
      <family val="2"/>
      <scheme val="minor"/>
    </font>
    <font>
      <b/>
      <sz val="11"/>
      <color indexed="8"/>
      <name val="Calibri"/>
      <family val="2"/>
    </font>
    <font>
      <sz val="11"/>
      <color indexed="8"/>
      <name val="Calibri"/>
      <family val="2"/>
    </font>
    <font>
      <sz val="10"/>
      <name val="Arial"/>
      <family val="2"/>
    </font>
    <font>
      <b/>
      <sz val="14"/>
      <name val="Calibri"/>
      <family val="2"/>
      <scheme val="minor"/>
    </font>
    <font>
      <b/>
      <sz val="14"/>
      <color theme="1"/>
      <name val="Calibri"/>
      <family val="2"/>
      <scheme val="minor"/>
    </font>
    <font>
      <b/>
      <sz val="9"/>
      <color indexed="81"/>
      <name val="Tahoma"/>
      <family val="2"/>
    </font>
    <font>
      <u/>
      <sz val="11"/>
      <color theme="10"/>
      <name val="Calibri"/>
      <family val="2"/>
      <scheme val="minor"/>
    </font>
    <font>
      <b/>
      <sz val="12"/>
      <color theme="1"/>
      <name val="Calibri"/>
      <family val="2"/>
      <scheme val="minor"/>
    </font>
    <font>
      <sz val="10"/>
      <color indexed="8"/>
      <name val="Arial"/>
      <family val="2"/>
    </font>
    <font>
      <sz val="8"/>
      <name val="Calibri"/>
      <family val="2"/>
      <scheme val="minor"/>
    </font>
    <font>
      <b/>
      <vertAlign val="superscript"/>
      <sz val="14"/>
      <color theme="1"/>
      <name val="Calibri"/>
      <family val="2"/>
      <scheme val="minor"/>
    </font>
    <font>
      <vertAlign val="superscript"/>
      <sz val="11"/>
      <color theme="1"/>
      <name val="Calibri"/>
      <family val="2"/>
      <scheme val="minor"/>
    </font>
    <font>
      <b/>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6"/>
      <color indexed="8"/>
      <name val="Times New Roman"/>
      <family val="1"/>
    </font>
    <font>
      <sz val="10"/>
      <name val="Arial"/>
      <family val="2"/>
    </font>
    <font>
      <b/>
      <sz val="12"/>
      <name val="Calibri"/>
      <family val="2"/>
      <scheme val="minor"/>
    </font>
    <font>
      <b/>
      <sz val="16"/>
      <name val="Calibri"/>
      <family val="2"/>
      <scheme val="minor"/>
    </font>
    <font>
      <b/>
      <sz val="11"/>
      <name val="Calibri"/>
      <family val="2"/>
    </font>
    <font>
      <b/>
      <i/>
      <sz val="11"/>
      <name val="Calibri"/>
      <family val="2"/>
      <scheme val="minor"/>
    </font>
    <font>
      <sz val="10"/>
      <name val="Calibri"/>
      <family val="2"/>
    </font>
    <font>
      <sz val="24"/>
      <color rgb="FFFF0000"/>
      <name val="Calibri"/>
      <family val="2"/>
      <scheme val="minor"/>
    </font>
    <font>
      <sz val="11"/>
      <color rgb="FF000000"/>
      <name val="Calibri"/>
      <family val="2"/>
    </font>
    <font>
      <b/>
      <sz val="11"/>
      <name val="Calibri"/>
      <family val="2"/>
    </font>
    <font>
      <sz val="11"/>
      <name val="Calibri"/>
      <family val="2"/>
    </font>
    <font>
      <sz val="14"/>
      <name val="Calibri"/>
      <family val="2"/>
      <scheme val="minor"/>
    </font>
    <font>
      <b/>
      <sz val="14"/>
      <color rgb="FFFF66CC"/>
      <name val="Calibri"/>
      <family val="2"/>
      <scheme val="minor"/>
    </font>
    <font>
      <sz val="11"/>
      <color theme="1"/>
      <name val="Calibri"/>
      <family val="2"/>
    </font>
    <font>
      <b/>
      <sz val="11"/>
      <color theme="1"/>
      <name val="Calibri"/>
      <family val="2"/>
    </font>
    <font>
      <sz val="11"/>
      <color theme="0" tint="-0.249977111117893"/>
      <name val="Calibri"/>
      <family val="2"/>
      <scheme val="minor"/>
    </font>
    <font>
      <sz val="10"/>
      <color indexed="8"/>
      <name val="Arial"/>
    </font>
  </fonts>
  <fills count="6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111">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diagonal/>
    </border>
    <border>
      <left/>
      <right style="medium">
        <color auto="1"/>
      </right>
      <top/>
      <bottom/>
      <diagonal/>
    </border>
    <border>
      <left style="medium">
        <color indexed="64"/>
      </left>
      <right/>
      <top style="thin">
        <color indexed="64"/>
      </top>
      <bottom style="medium">
        <color indexed="64"/>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s>
  <cellStyleXfs count="3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xf numFmtId="0" fontId="19" fillId="0" borderId="0"/>
    <xf numFmtId="0" fontId="23" fillId="0" borderId="0" applyNumberFormat="0" applyFill="0" applyBorder="0" applyAlignment="0" applyProtection="0"/>
    <xf numFmtId="0" fontId="25" fillId="0" borderId="0"/>
    <xf numFmtId="44" fontId="19" fillId="0" borderId="0" applyFont="0" applyFill="0" applyBorder="0" applyAlignment="0" applyProtection="0"/>
    <xf numFmtId="0" fontId="1" fillId="0" borderId="0"/>
    <xf numFmtId="9" fontId="1" fillId="0" borderId="0" applyFont="0" applyFill="0" applyBorder="0" applyAlignment="0" applyProtection="0"/>
    <xf numFmtId="178" fontId="19" fillId="0" borderId="0"/>
    <xf numFmtId="0" fontId="41" fillId="0" borderId="0" applyNumberFormat="0" applyFill="0" applyBorder="0" applyAlignment="0" applyProtection="0"/>
    <xf numFmtId="0" fontId="12" fillId="0" borderId="0"/>
    <xf numFmtId="9" fontId="12" fillId="0" borderId="0" applyFont="0" applyFill="0" applyBorder="0" applyAlignment="0" applyProtection="0"/>
    <xf numFmtId="0" fontId="44" fillId="0" borderId="0" applyNumberFormat="0" applyFill="0" applyBorder="0" applyAlignment="0" applyProtection="0">
      <alignment vertical="top"/>
      <protection locked="0"/>
    </xf>
    <xf numFmtId="0" fontId="12"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4" fillId="7" borderId="0" applyNumberFormat="0" applyBorder="0" applyAlignment="0" applyProtection="0"/>
    <xf numFmtId="0" fontId="37" fillId="10" borderId="41" applyNumberFormat="0" applyAlignment="0" applyProtection="0"/>
    <xf numFmtId="0" fontId="2" fillId="11" borderId="4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0" fontId="39" fillId="0" borderId="0" applyNumberFormat="0" applyFill="0" applyBorder="0" applyAlignment="0" applyProtection="0"/>
    <xf numFmtId="0" fontId="33" fillId="6" borderId="0" applyNumberFormat="0" applyBorder="0" applyAlignment="0" applyProtection="0"/>
    <xf numFmtId="0" fontId="30" fillId="0" borderId="38" applyNumberFormat="0" applyFill="0" applyAlignment="0" applyProtection="0"/>
    <xf numFmtId="0" fontId="31" fillId="0" borderId="39" applyNumberFormat="0" applyFill="0" applyAlignment="0" applyProtection="0"/>
    <xf numFmtId="0" fontId="32" fillId="0" borderId="40" applyNumberFormat="0" applyFill="0" applyAlignment="0" applyProtection="0"/>
    <xf numFmtId="0" fontId="32"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0" borderId="0" applyNumberFormat="0" applyFill="0" applyBorder="0" applyAlignment="0" applyProtection="0"/>
    <xf numFmtId="0" fontId="44" fillId="0" borderId="0" applyNumberFormat="0" applyFill="0" applyBorder="0" applyAlignment="0" applyProtection="0"/>
    <xf numFmtId="0" fontId="35" fillId="9" borderId="41" applyNumberFormat="0" applyAlignment="0" applyProtection="0"/>
    <xf numFmtId="0" fontId="38" fillId="0" borderId="43" applyNumberFormat="0" applyFill="0" applyAlignment="0" applyProtection="0"/>
    <xf numFmtId="0" fontId="42" fillId="8" borderId="0" applyNumberFormat="0" applyBorder="0" applyAlignment="0" applyProtection="0"/>
    <xf numFmtId="0" fontId="19" fillId="0" borderId="0"/>
    <xf numFmtId="0" fontId="45" fillId="0" borderId="0"/>
    <xf numFmtId="0" fontId="1" fillId="0" borderId="0"/>
    <xf numFmtId="0" fontId="1" fillId="0" borderId="0"/>
    <xf numFmtId="0" fontId="1" fillId="0" borderId="0"/>
    <xf numFmtId="0" fontId="1" fillId="0" borderId="0"/>
    <xf numFmtId="0" fontId="19" fillId="0" borderId="0"/>
    <xf numFmtId="0" fontId="19" fillId="0" borderId="0"/>
    <xf numFmtId="0" fontId="45" fillId="0" borderId="0"/>
    <xf numFmtId="0" fontId="1" fillId="0" borderId="0"/>
    <xf numFmtId="0" fontId="45" fillId="0" borderId="0"/>
    <xf numFmtId="0" fontId="45" fillId="0" borderId="0"/>
    <xf numFmtId="0" fontId="12" fillId="0" borderId="0"/>
    <xf numFmtId="0" fontId="12" fillId="0" borderId="0"/>
    <xf numFmtId="0" fontId="12" fillId="0" borderId="0"/>
    <xf numFmtId="0" fontId="1" fillId="12" borderId="45" applyNumberFormat="0" applyFont="0" applyAlignment="0" applyProtection="0"/>
    <xf numFmtId="0" fontId="36" fillId="10" borderId="42" applyNumberFormat="0" applyAlignment="0" applyProtection="0"/>
    <xf numFmtId="9" fontId="19"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0" fontId="4" fillId="0" borderId="46" applyNumberFormat="0" applyFill="0" applyAlignment="0" applyProtection="0"/>
    <xf numFmtId="0" fontId="3" fillId="0" borderId="0" applyNumberForma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2" borderId="45" applyNumberFormat="0" applyFont="0" applyAlignment="0" applyProtection="0"/>
    <xf numFmtId="0" fontId="12" fillId="0" borderId="0"/>
    <xf numFmtId="0" fontId="1" fillId="0" borderId="0"/>
    <xf numFmtId="44" fontId="1" fillId="0" borderId="0" applyFont="0" applyFill="0" applyBorder="0" applyAlignment="0" applyProtection="0"/>
    <xf numFmtId="9" fontId="12" fillId="0" borderId="0" applyFont="0" applyFill="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45" applyNumberFormat="0" applyFont="0" applyAlignment="0" applyProtection="0"/>
    <xf numFmtId="0" fontId="1" fillId="0" borderId="0"/>
    <xf numFmtId="0" fontId="46" fillId="0" borderId="0" applyNumberFormat="0" applyFill="0" applyBorder="0" applyAlignment="0" applyProtection="0">
      <alignment vertical="top"/>
      <protection locked="0"/>
    </xf>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45" applyNumberFormat="0" applyFont="0" applyAlignment="0" applyProtection="0"/>
    <xf numFmtId="0" fontId="1" fillId="0" borderId="0"/>
    <xf numFmtId="0" fontId="1" fillId="0" borderId="0"/>
    <xf numFmtId="0" fontId="1" fillId="0" borderId="0"/>
    <xf numFmtId="0" fontId="12" fillId="0" borderId="0"/>
    <xf numFmtId="0" fontId="44" fillId="0" borderId="0" applyNumberFormat="0" applyFill="0" applyBorder="0" applyAlignment="0" applyProtection="0">
      <alignment vertical="top"/>
      <protection locked="0"/>
    </xf>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2" borderId="4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2" borderId="45" applyNumberFormat="0" applyFont="0" applyAlignment="0" applyProtection="0"/>
    <xf numFmtId="0" fontId="44" fillId="0" borderId="0" applyNumberFormat="0" applyFill="0" applyBorder="0" applyAlignment="0" applyProtection="0"/>
    <xf numFmtId="0" fontId="48" fillId="53" borderId="0" applyNumberFormat="0" applyBorder="0" applyAlignment="0" applyProtection="0"/>
    <xf numFmtId="0" fontId="45" fillId="0" borderId="0"/>
    <xf numFmtId="0" fontId="54" fillId="0" borderId="49" applyNumberFormat="0" applyFill="0" applyAlignment="0" applyProtection="0"/>
    <xf numFmtId="0" fontId="39" fillId="0" borderId="0" applyNumberFormat="0" applyFill="0" applyBorder="0" applyAlignment="0" applyProtection="0"/>
    <xf numFmtId="0" fontId="19" fillId="0" borderId="0"/>
    <xf numFmtId="0" fontId="36" fillId="10" borderId="42" applyNumberFormat="0" applyAlignment="0" applyProtection="0"/>
    <xf numFmtId="0" fontId="5" fillId="24" borderId="0" applyNumberFormat="0" applyBorder="0" applyAlignment="0" applyProtection="0"/>
    <xf numFmtId="0" fontId="48" fillId="52" borderId="0" applyNumberFormat="0" applyBorder="0" applyAlignment="0" applyProtection="0"/>
    <xf numFmtId="0" fontId="42" fillId="8" borderId="0" applyNumberFormat="0" applyBorder="0" applyAlignment="0" applyProtection="0"/>
    <xf numFmtId="0" fontId="57" fillId="42" borderId="47" applyNumberFormat="0" applyAlignment="0" applyProtection="0"/>
    <xf numFmtId="0" fontId="5"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43" fontId="63" fillId="0" borderId="0" applyFont="0" applyFill="0" applyBorder="0" applyAlignment="0" applyProtection="0"/>
    <xf numFmtId="0" fontId="18" fillId="39" borderId="0" applyNumberFormat="0" applyBorder="0" applyAlignment="0" applyProtection="0"/>
    <xf numFmtId="0" fontId="18" fillId="46" borderId="0" applyNumberFormat="0" applyBorder="0" applyAlignment="0" applyProtection="0"/>
    <xf numFmtId="0" fontId="19" fillId="0" borderId="0"/>
    <xf numFmtId="0" fontId="45" fillId="0" borderId="0"/>
    <xf numFmtId="0" fontId="18" fillId="40" borderId="0" applyNumberFormat="0" applyBorder="0" applyAlignment="0" applyProtection="0"/>
    <xf numFmtId="0" fontId="18" fillId="42" borderId="0" applyNumberFormat="0" applyBorder="0" applyAlignment="0" applyProtection="0"/>
    <xf numFmtId="0" fontId="48" fillId="47"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50" fillId="55" borderId="47" applyNumberFormat="0" applyAlignment="0" applyProtection="0"/>
    <xf numFmtId="0" fontId="51" fillId="56" borderId="48" applyNumberFormat="0" applyAlignment="0" applyProtection="0"/>
    <xf numFmtId="0" fontId="19" fillId="0" borderId="0" applyFont="0" applyFill="0" applyBorder="0" applyAlignment="0" applyProtection="0"/>
    <xf numFmtId="0" fontId="52" fillId="0" borderId="0" applyNumberFormat="0" applyFill="0" applyBorder="0" applyAlignment="0" applyProtection="0"/>
    <xf numFmtId="0" fontId="56" fillId="0" borderId="0" applyNumberFormat="0" applyFill="0" applyBorder="0" applyAlignment="0" applyProtection="0"/>
    <xf numFmtId="0" fontId="19" fillId="0" borderId="0"/>
    <xf numFmtId="0" fontId="19" fillId="0" borderId="0"/>
    <xf numFmtId="0" fontId="19" fillId="0" borderId="0"/>
    <xf numFmtId="0" fontId="62" fillId="0" borderId="0" applyNumberFormat="0" applyFill="0" applyBorder="0" applyAlignment="0" applyProtection="0"/>
    <xf numFmtId="0" fontId="19" fillId="0" borderId="0"/>
    <xf numFmtId="0" fontId="19" fillId="0" borderId="0"/>
    <xf numFmtId="9" fontId="12" fillId="0" borderId="0" applyFont="0" applyFill="0" applyBorder="0" applyAlignment="0" applyProtection="0"/>
    <xf numFmtId="0" fontId="30" fillId="0" borderId="38" applyNumberFormat="0" applyFill="0" applyAlignment="0" applyProtection="0"/>
    <xf numFmtId="0" fontId="32" fillId="0" borderId="40" applyNumberFormat="0" applyFill="0" applyAlignment="0" applyProtection="0"/>
    <xf numFmtId="0" fontId="45" fillId="0" borderId="0"/>
    <xf numFmtId="0" fontId="1" fillId="0" borderId="0"/>
    <xf numFmtId="3" fontId="19" fillId="0" borderId="0" applyFont="0" applyFill="0" applyBorder="0" applyAlignment="0" applyProtection="0"/>
    <xf numFmtId="0" fontId="38" fillId="0" borderId="43" applyNumberFormat="0" applyFill="0" applyAlignment="0" applyProtection="0"/>
    <xf numFmtId="0" fontId="5" fillId="17" borderId="0" applyNumberFormat="0" applyBorder="0" applyAlignment="0" applyProtection="0"/>
    <xf numFmtId="0" fontId="18" fillId="44" borderId="0" applyNumberFormat="0" applyBorder="0" applyAlignment="0" applyProtection="0"/>
    <xf numFmtId="0" fontId="9" fillId="0" borderId="0"/>
    <xf numFmtId="0" fontId="5" fillId="33" borderId="0" applyNumberFormat="0" applyBorder="0" applyAlignment="0" applyProtection="0"/>
    <xf numFmtId="0" fontId="59" fillId="57" borderId="0" applyNumberFormat="0" applyBorder="0" applyAlignment="0" applyProtection="0"/>
    <xf numFmtId="0" fontId="37" fillId="10" borderId="41" applyNumberFormat="0" applyAlignment="0" applyProtection="0"/>
    <xf numFmtId="0" fontId="19" fillId="0" borderId="0"/>
    <xf numFmtId="0" fontId="5" fillId="20" borderId="0" applyNumberFormat="0" applyBorder="0" applyAlignment="0" applyProtection="0"/>
    <xf numFmtId="0" fontId="9" fillId="0" borderId="0"/>
    <xf numFmtId="0" fontId="49" fillId="38" borderId="0" applyNumberFormat="0" applyBorder="0" applyAlignment="0" applyProtection="0"/>
    <xf numFmtId="0" fontId="53" fillId="39" borderId="0" applyNumberFormat="0" applyBorder="0" applyAlignment="0" applyProtection="0"/>
    <xf numFmtId="0" fontId="19" fillId="0" borderId="0"/>
    <xf numFmtId="0" fontId="56" fillId="0" borderId="51" applyNumberFormat="0" applyFill="0" applyAlignment="0" applyProtection="0"/>
    <xf numFmtId="0" fontId="18" fillId="43" borderId="0" applyNumberFormat="0" applyBorder="0" applyAlignment="0" applyProtection="0"/>
    <xf numFmtId="0" fontId="48" fillId="48" borderId="0" applyNumberFormat="0" applyBorder="0" applyAlignment="0" applyProtection="0"/>
    <xf numFmtId="0" fontId="5" fillId="36" borderId="0" applyNumberFormat="0" applyBorder="0" applyAlignment="0" applyProtection="0"/>
    <xf numFmtId="0" fontId="18" fillId="45" borderId="0" applyNumberFormat="0" applyBorder="0" applyAlignment="0" applyProtection="0"/>
    <xf numFmtId="0" fontId="5" fillId="16" borderId="0" applyNumberFormat="0" applyBorder="0" applyAlignment="0" applyProtection="0"/>
    <xf numFmtId="0" fontId="5" fillId="25" borderId="0" applyNumberFormat="0" applyBorder="0" applyAlignment="0" applyProtection="0"/>
    <xf numFmtId="0" fontId="61" fillId="0" borderId="0" applyNumberFormat="0" applyFill="0" applyBorder="0" applyAlignment="0" applyProtection="0"/>
    <xf numFmtId="43" fontId="19" fillId="0" borderId="0" applyFont="0" applyFill="0" applyBorder="0" applyAlignment="0" applyProtection="0"/>
    <xf numFmtId="0" fontId="57" fillId="42" borderId="47" applyNumberFormat="0" applyAlignment="0" applyProtection="0"/>
    <xf numFmtId="0" fontId="18" fillId="37" borderId="0" applyNumberFormat="0" applyBorder="0" applyAlignment="0" applyProtection="0"/>
    <xf numFmtId="0" fontId="18" fillId="38" borderId="0" applyNumberFormat="0" applyBorder="0" applyAlignment="0" applyProtection="0"/>
    <xf numFmtId="0" fontId="50" fillId="55" borderId="47" applyNumberFormat="0" applyAlignment="0" applyProtection="0"/>
    <xf numFmtId="0" fontId="4" fillId="0" borderId="46" applyNumberFormat="0" applyFill="0" applyAlignment="0" applyProtection="0"/>
    <xf numFmtId="0" fontId="48" fillId="51" borderId="0" applyNumberFormat="0" applyBorder="0" applyAlignment="0" applyProtection="0"/>
    <xf numFmtId="0" fontId="34" fillId="7" borderId="0" applyNumberFormat="0" applyBorder="0" applyAlignment="0" applyProtection="0"/>
    <xf numFmtId="0" fontId="3" fillId="0" borderId="0" applyNumberFormat="0" applyFill="0" applyBorder="0" applyAlignment="0" applyProtection="0"/>
    <xf numFmtId="0" fontId="5" fillId="13" borderId="0" applyNumberFormat="0" applyBorder="0" applyAlignment="0" applyProtection="0"/>
    <xf numFmtId="0" fontId="19" fillId="58" borderId="53" applyNumberFormat="0" applyFont="0" applyAlignment="0" applyProtection="0"/>
    <xf numFmtId="0" fontId="31" fillId="0" borderId="39" applyNumberFormat="0" applyFill="0" applyAlignment="0" applyProtection="0"/>
    <xf numFmtId="0" fontId="32" fillId="0" borderId="0" applyNumberFormat="0" applyFill="0" applyBorder="0" applyAlignment="0" applyProtection="0"/>
    <xf numFmtId="0" fontId="43" fillId="0" borderId="0"/>
    <xf numFmtId="0" fontId="18" fillId="41" borderId="0" applyNumberFormat="0" applyBorder="0" applyAlignment="0" applyProtection="0"/>
    <xf numFmtId="0" fontId="33" fillId="6" borderId="0" applyNumberFormat="0" applyBorder="0" applyAlignment="0" applyProtection="0"/>
    <xf numFmtId="0" fontId="48" fillId="54" borderId="0" applyNumberFormat="0" applyBorder="0" applyAlignment="0" applyProtection="0"/>
    <xf numFmtId="0" fontId="35" fillId="9" borderId="41" applyNumberFormat="0" applyAlignment="0" applyProtection="0"/>
    <xf numFmtId="0" fontId="19" fillId="0" borderId="0"/>
    <xf numFmtId="0" fontId="1" fillId="0" borderId="0"/>
    <xf numFmtId="0" fontId="5" fillId="21" borderId="0" applyNumberFormat="0" applyBorder="0" applyAlignment="0" applyProtection="0"/>
    <xf numFmtId="0" fontId="48" fillId="50" borderId="0" applyNumberFormat="0" applyBorder="0" applyAlignment="0" applyProtection="0"/>
    <xf numFmtId="0" fontId="40" fillId="0" borderId="0"/>
    <xf numFmtId="0" fontId="19" fillId="0" borderId="0"/>
    <xf numFmtId="0" fontId="55" fillId="0" borderId="50" applyNumberFormat="0" applyFill="0" applyAlignment="0" applyProtection="0"/>
    <xf numFmtId="0" fontId="58" fillId="0" borderId="52" applyNumberFormat="0" applyFill="0" applyAlignment="0" applyProtection="0"/>
    <xf numFmtId="0" fontId="17" fillId="0" borderId="55" applyNumberFormat="0" applyFill="0" applyAlignment="0" applyProtection="0"/>
    <xf numFmtId="0" fontId="18" fillId="40" borderId="0" applyNumberFormat="0" applyBorder="0" applyAlignment="0" applyProtection="0"/>
    <xf numFmtId="0" fontId="5" fillId="29" borderId="0" applyNumberFormat="0" applyBorder="0" applyAlignment="0" applyProtection="0"/>
    <xf numFmtId="0" fontId="48" fillId="48" borderId="0" applyNumberFormat="0" applyBorder="0" applyAlignment="0" applyProtection="0"/>
    <xf numFmtId="0" fontId="2" fillId="11" borderId="44" applyNumberFormat="0" applyAlignment="0" applyProtection="0"/>
    <xf numFmtId="0" fontId="60" fillId="55" borderId="54" applyNumberFormat="0" applyAlignment="0" applyProtection="0"/>
    <xf numFmtId="0" fontId="5" fillId="32" borderId="0" applyNumberFormat="0" applyBorder="0" applyAlignment="0" applyProtection="0"/>
    <xf numFmtId="0" fontId="18" fillId="43" borderId="0" applyNumberFormat="0" applyBorder="0" applyAlignment="0" applyProtection="0"/>
    <xf numFmtId="0" fontId="12" fillId="0" borderId="0"/>
    <xf numFmtId="0" fontId="1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8" borderId="53" applyNumberFormat="0" applyFont="0" applyAlignment="0" applyProtection="0"/>
    <xf numFmtId="0" fontId="19" fillId="0" borderId="0"/>
    <xf numFmtId="0" fontId="19" fillId="58" borderId="53" applyNumberFormat="0" applyFont="0" applyAlignment="0" applyProtection="0"/>
    <xf numFmtId="0" fontId="50" fillId="55" borderId="47" applyNumberFormat="0" applyAlignment="0" applyProtection="0"/>
    <xf numFmtId="0" fontId="19" fillId="58" borderId="53" applyNumberFormat="0" applyFont="0" applyAlignment="0" applyProtection="0"/>
    <xf numFmtId="0" fontId="60" fillId="55" borderId="54" applyNumberFormat="0" applyAlignment="0" applyProtection="0"/>
    <xf numFmtId="0" fontId="17" fillId="0" borderId="55" applyNumberFormat="0" applyFill="0" applyAlignment="0" applyProtection="0"/>
    <xf numFmtId="0" fontId="17" fillId="0" borderId="55" applyNumberFormat="0" applyFill="0" applyAlignment="0" applyProtection="0"/>
    <xf numFmtId="0" fontId="60" fillId="55" borderId="54" applyNumberFormat="0" applyAlignment="0" applyProtection="0"/>
    <xf numFmtId="0" fontId="57" fillId="42" borderId="47" applyNumberFormat="0" applyAlignment="0" applyProtection="0"/>
    <xf numFmtId="0" fontId="19" fillId="58" borderId="53" applyNumberFormat="0" applyFont="0" applyAlignment="0" applyProtection="0"/>
    <xf numFmtId="0" fontId="12" fillId="0" borderId="0"/>
    <xf numFmtId="0" fontId="19" fillId="58" borderId="53" applyNumberFormat="0" applyFont="0" applyAlignment="0" applyProtection="0"/>
    <xf numFmtId="0" fontId="43" fillId="0" borderId="0"/>
    <xf numFmtId="178" fontId="19" fillId="0" borderId="0"/>
    <xf numFmtId="0" fontId="43" fillId="0" borderId="0"/>
    <xf numFmtId="43" fontId="12" fillId="0" borderId="0" applyFont="0" applyFill="0" applyBorder="0" applyAlignment="0" applyProtection="0"/>
    <xf numFmtId="178" fontId="19" fillId="0" borderId="0"/>
    <xf numFmtId="0" fontId="43" fillId="0" borderId="0"/>
    <xf numFmtId="9" fontId="12" fillId="0" borderId="0" applyFont="0" applyFill="0" applyBorder="0" applyAlignment="0" applyProtection="0"/>
    <xf numFmtId="178" fontId="64" fillId="0" borderId="0"/>
  </cellStyleXfs>
  <cellXfs count="1839">
    <xf numFmtId="0" fontId="0" fillId="0" borderId="0" xfId="0"/>
    <xf numFmtId="0" fontId="0" fillId="0" borderId="0" xfId="0" applyAlignment="1">
      <alignment wrapText="1"/>
    </xf>
    <xf numFmtId="0" fontId="0" fillId="0" borderId="0" xfId="0" applyAlignment="1">
      <alignment vertical="center"/>
    </xf>
    <xf numFmtId="0" fontId="8" fillId="0" borderId="5" xfId="0"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 vertical="center"/>
    </xf>
    <xf numFmtId="44" fontId="8" fillId="0" borderId="7" xfId="2" applyFont="1" applyFill="1" applyBorder="1" applyAlignment="1">
      <alignment horizontal="center"/>
    </xf>
    <xf numFmtId="44" fontId="8" fillId="0" borderId="0" xfId="2" applyFont="1" applyBorder="1"/>
    <xf numFmtId="0" fontId="8" fillId="0" borderId="0" xfId="0" applyFont="1"/>
    <xf numFmtId="44" fontId="8" fillId="0" borderId="0" xfId="2" applyFont="1" applyFill="1" applyBorder="1"/>
    <xf numFmtId="44" fontId="8" fillId="0" borderId="0" xfId="2" applyFont="1" applyFill="1"/>
    <xf numFmtId="165" fontId="8" fillId="0" borderId="0" xfId="1" applyNumberFormat="1" applyFont="1" applyFill="1" applyAlignment="1">
      <alignment horizontal="right" vertical="center"/>
    </xf>
    <xf numFmtId="44" fontId="8" fillId="0" borderId="0" xfId="2" applyFont="1" applyFill="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wrapText="1"/>
    </xf>
    <xf numFmtId="165" fontId="8" fillId="0" borderId="12" xfId="1" applyNumberFormat="1" applyFont="1" applyFill="1" applyBorder="1" applyAlignment="1">
      <alignment horizontal="center"/>
    </xf>
    <xf numFmtId="43" fontId="8" fillId="0" borderId="12" xfId="1" applyFont="1" applyFill="1" applyBorder="1" applyAlignment="1">
      <alignment horizontal="center"/>
    </xf>
    <xf numFmtId="165" fontId="8" fillId="0" borderId="12" xfId="1" applyNumberFormat="1" applyFont="1" applyFill="1" applyBorder="1" applyAlignment="1"/>
    <xf numFmtId="43" fontId="8" fillId="0" borderId="12" xfId="1" applyFont="1" applyFill="1" applyBorder="1" applyAlignment="1"/>
    <xf numFmtId="0" fontId="0" fillId="0" borderId="0" xfId="0" applyAlignment="1">
      <alignment horizontal="left" wrapText="1"/>
    </xf>
    <xf numFmtId="0" fontId="23" fillId="0" borderId="34" xfId="7" applyBorder="1" applyAlignment="1">
      <alignment horizontal="center" vertical="center" wrapText="1"/>
    </xf>
    <xf numFmtId="0" fontId="4" fillId="0" borderId="11" xfId="0" applyFont="1" applyBorder="1" applyAlignment="1">
      <alignment horizontal="center" vertical="center" wrapText="1"/>
    </xf>
    <xf numFmtId="0" fontId="23" fillId="0" borderId="11" xfId="7" applyBorder="1" applyAlignment="1">
      <alignment horizontal="center" vertical="center" wrapText="1"/>
    </xf>
    <xf numFmtId="0" fontId="0" fillId="0" borderId="34" xfId="0" applyBorder="1" applyAlignment="1">
      <alignment vertical="center" wrapText="1"/>
    </xf>
    <xf numFmtId="0" fontId="0" fillId="0" borderId="11" xfId="0" applyBorder="1" applyAlignment="1">
      <alignment vertical="center" wrapText="1"/>
    </xf>
    <xf numFmtId="0" fontId="0" fillId="0" borderId="35" xfId="0" applyBorder="1" applyAlignment="1">
      <alignment vertical="center" wrapText="1"/>
    </xf>
    <xf numFmtId="0" fontId="0" fillId="0" borderId="26" xfId="0" applyBorder="1" applyAlignment="1">
      <alignment vertical="center" wrapText="1"/>
    </xf>
    <xf numFmtId="0" fontId="16"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left"/>
    </xf>
    <xf numFmtId="0" fontId="4" fillId="0" borderId="0" xfId="0" applyFont="1" applyAlignment="1">
      <alignment horizontal="left"/>
    </xf>
    <xf numFmtId="0" fontId="21" fillId="0" borderId="0" xfId="0" applyFont="1"/>
    <xf numFmtId="164"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left" vertical="top" wrapText="1"/>
    </xf>
    <xf numFmtId="0" fontId="10" fillId="0" borderId="0" xfId="0" applyFont="1" applyAlignment="1">
      <alignment horizontal="center" wrapText="1"/>
    </xf>
    <xf numFmtId="166" fontId="8" fillId="0" borderId="0" xfId="0" applyNumberFormat="1" applyFont="1"/>
    <xf numFmtId="0" fontId="8" fillId="2" borderId="18" xfId="0" applyFont="1" applyFill="1" applyBorder="1" applyAlignment="1">
      <alignment horizontal="left"/>
    </xf>
    <xf numFmtId="0" fontId="8" fillId="2" borderId="20" xfId="0" applyFont="1" applyFill="1" applyBorder="1"/>
    <xf numFmtId="0" fontId="8" fillId="2" borderId="20" xfId="0" applyFont="1" applyFill="1" applyBorder="1" applyAlignment="1">
      <alignment horizontal="center"/>
    </xf>
    <xf numFmtId="172" fontId="8" fillId="2" borderId="20" xfId="0" applyNumberFormat="1" applyFont="1" applyFill="1" applyBorder="1" applyAlignment="1">
      <alignment horizontal="center"/>
    </xf>
    <xf numFmtId="166" fontId="10" fillId="2" borderId="26" xfId="0" applyNumberFormat="1" applyFont="1" applyFill="1" applyBorder="1" applyAlignment="1">
      <alignment horizontal="center"/>
    </xf>
    <xf numFmtId="0" fontId="0" fillId="0" borderId="0" xfId="0" applyAlignment="1">
      <alignment vertical="center" wrapText="1"/>
    </xf>
    <xf numFmtId="0" fontId="26" fillId="0" borderId="0" xfId="0" applyFont="1"/>
    <xf numFmtId="165" fontId="8" fillId="0" borderId="0" xfId="1" applyNumberFormat="1" applyFont="1" applyFill="1" applyAlignment="1">
      <alignment horizontal="center"/>
    </xf>
    <xf numFmtId="165" fontId="8" fillId="0" borderId="1" xfId="1" applyNumberFormat="1" applyFont="1" applyFill="1" applyBorder="1" applyAlignment="1">
      <alignment vertical="center"/>
    </xf>
    <xf numFmtId="0" fontId="3" fillId="0" borderId="0" xfId="0" applyFont="1" applyAlignment="1">
      <alignment horizontal="left" vertical="top" wrapText="1"/>
    </xf>
    <xf numFmtId="0" fontId="19" fillId="0" borderId="0" xfId="6" applyAlignment="1">
      <alignment vertical="center" wrapText="1"/>
    </xf>
    <xf numFmtId="44" fontId="8" fillId="0" borderId="0" xfId="2" applyFont="1" applyFill="1" applyAlignment="1"/>
    <xf numFmtId="44" fontId="8" fillId="0" borderId="0" xfId="2" applyFont="1" applyFill="1" applyAlignment="1">
      <alignment vertical="center"/>
    </xf>
    <xf numFmtId="44" fontId="7" fillId="0" borderId="0" xfId="2" applyFont="1" applyFill="1" applyAlignment="1">
      <alignment horizontal="right" vertical="top"/>
    </xf>
    <xf numFmtId="44" fontId="8" fillId="0" borderId="0" xfId="2" applyFont="1" applyFill="1" applyBorder="1" applyAlignment="1"/>
    <xf numFmtId="44" fontId="8" fillId="0" borderId="0" xfId="2" applyFont="1" applyFill="1" applyAlignment="1">
      <alignment wrapText="1"/>
    </xf>
    <xf numFmtId="43" fontId="8" fillId="0" borderId="0" xfId="1" applyFont="1" applyFill="1" applyAlignment="1">
      <alignment horizontal="center"/>
    </xf>
    <xf numFmtId="9" fontId="8" fillId="0" borderId="0" xfId="3" applyFont="1" applyFill="1" applyBorder="1" applyAlignment="1"/>
    <xf numFmtId="44" fontId="8" fillId="0" borderId="0" xfId="2" applyFont="1" applyFill="1" applyAlignment="1">
      <alignment horizontal="center"/>
    </xf>
    <xf numFmtId="44" fontId="8" fillId="0" borderId="13" xfId="2" applyFont="1" applyFill="1" applyBorder="1" applyAlignment="1">
      <alignment horizontal="center"/>
    </xf>
    <xf numFmtId="44" fontId="8" fillId="0" borderId="0" xfId="2" applyFont="1" applyFill="1" applyAlignment="1">
      <alignment horizontal="left" wrapText="1"/>
    </xf>
    <xf numFmtId="7" fontId="8" fillId="0" borderId="0" xfId="2" applyNumberFormat="1" applyFont="1" applyFill="1" applyAlignment="1">
      <alignment horizontal="right"/>
    </xf>
    <xf numFmtId="7" fontId="8" fillId="0" borderId="13" xfId="2" applyNumberFormat="1" applyFont="1" applyFill="1" applyBorder="1" applyAlignment="1">
      <alignment horizontal="center"/>
    </xf>
    <xf numFmtId="44" fontId="8" fillId="0" borderId="12" xfId="2" applyFont="1" applyFill="1" applyBorder="1" applyAlignment="1">
      <alignment horizontal="center"/>
    </xf>
    <xf numFmtId="44" fontId="8" fillId="0" borderId="0" xfId="2" applyFont="1" applyFill="1" applyAlignment="1">
      <alignment horizontal="center" wrapText="1"/>
    </xf>
    <xf numFmtId="44" fontId="8" fillId="0" borderId="0" xfId="2" applyFont="1" applyFill="1" applyBorder="1" applyAlignment="1">
      <alignment wrapText="1"/>
    </xf>
    <xf numFmtId="165" fontId="8" fillId="0" borderId="12" xfId="1" applyNumberFormat="1" applyFont="1" applyFill="1" applyBorder="1" applyAlignment="1">
      <alignment vertical="center"/>
    </xf>
    <xf numFmtId="44" fontId="10" fillId="0" borderId="0" xfId="2" applyFont="1" applyFill="1" applyBorder="1" applyAlignment="1">
      <alignment horizontal="center" vertical="center"/>
    </xf>
    <xf numFmtId="0" fontId="7" fillId="0" borderId="16" xfId="4" applyFont="1" applyBorder="1"/>
    <xf numFmtId="0" fontId="7" fillId="0" borderId="0" xfId="4" applyFont="1"/>
    <xf numFmtId="49" fontId="10" fillId="0" borderId="29" xfId="5" applyNumberFormat="1" applyFont="1" applyBorder="1" applyAlignment="1">
      <alignment horizontal="center" vertical="center" wrapText="1"/>
    </xf>
    <xf numFmtId="49" fontId="10" fillId="0" borderId="30" xfId="5" applyNumberFormat="1" applyFont="1" applyBorder="1" applyAlignment="1">
      <alignment horizontal="center" vertical="center" wrapText="1"/>
    </xf>
    <xf numFmtId="49" fontId="10" fillId="0" borderId="19" xfId="5" applyNumberFormat="1" applyFont="1" applyBorder="1" applyAlignment="1">
      <alignment horizontal="center" vertical="center" wrapText="1"/>
    </xf>
    <xf numFmtId="0" fontId="8" fillId="0" borderId="16" xfId="4" applyFont="1" applyBorder="1" applyAlignment="1">
      <alignment horizontal="center" vertical="top" wrapText="1"/>
    </xf>
    <xf numFmtId="0" fontId="8" fillId="0" borderId="0" xfId="4" applyFont="1" applyAlignment="1">
      <alignment horizontal="center" vertical="top" wrapText="1"/>
    </xf>
    <xf numFmtId="0" fontId="8" fillId="0" borderId="13" xfId="4" applyFont="1" applyBorder="1" applyAlignment="1">
      <alignment horizontal="center"/>
    </xf>
    <xf numFmtId="0" fontId="8" fillId="0" borderId="7" xfId="4" applyFont="1" applyBorder="1" applyAlignment="1">
      <alignment horizontal="center"/>
    </xf>
    <xf numFmtId="0" fontId="8" fillId="0" borderId="15" xfId="4" applyFont="1" applyBorder="1" applyAlignment="1">
      <alignment horizontal="center"/>
    </xf>
    <xf numFmtId="0" fontId="8" fillId="0" borderId="8" xfId="4" applyFont="1" applyBorder="1" applyAlignment="1">
      <alignment horizontal="center"/>
    </xf>
    <xf numFmtId="0" fontId="8" fillId="0" borderId="27" xfId="4" applyFont="1" applyBorder="1" applyAlignment="1">
      <alignment horizontal="center"/>
    </xf>
    <xf numFmtId="166" fontId="8" fillId="3" borderId="27" xfId="4" applyNumberFormat="1" applyFont="1" applyFill="1" applyBorder="1" applyAlignment="1">
      <alignment horizontal="center"/>
    </xf>
    <xf numFmtId="0" fontId="8" fillId="0" borderId="28" xfId="4" applyFont="1" applyBorder="1" applyAlignment="1">
      <alignment horizontal="center"/>
    </xf>
    <xf numFmtId="166" fontId="8" fillId="3" borderId="33" xfId="4" applyNumberFormat="1" applyFont="1" applyFill="1" applyBorder="1" applyAlignment="1">
      <alignment horizontal="center"/>
    </xf>
    <xf numFmtId="0" fontId="20" fillId="3" borderId="27" xfId="0" applyFont="1" applyFill="1" applyBorder="1" applyAlignment="1">
      <alignment horizontal="center"/>
    </xf>
    <xf numFmtId="0" fontId="8" fillId="0" borderId="16" xfId="0" applyFont="1" applyBorder="1"/>
    <xf numFmtId="0" fontId="10" fillId="0" borderId="28" xfId="0" applyFont="1" applyBorder="1" applyAlignment="1">
      <alignment horizontal="center" wrapText="1"/>
    </xf>
    <xf numFmtId="0" fontId="10" fillId="3" borderId="27" xfId="0" applyFont="1" applyFill="1" applyBorder="1" applyAlignment="1">
      <alignment horizont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2" fontId="10" fillId="0" borderId="5" xfId="0" applyNumberFormat="1" applyFont="1" applyBorder="1" applyAlignment="1">
      <alignment horizontal="center" vertical="center" wrapText="1"/>
    </xf>
    <xf numFmtId="0" fontId="10" fillId="0" borderId="31" xfId="0" applyFont="1" applyBorder="1" applyAlignment="1">
      <alignment horizontal="center" vertical="center" wrapText="1"/>
    </xf>
    <xf numFmtId="0" fontId="10" fillId="3" borderId="32" xfId="0" applyFont="1" applyFill="1" applyBorder="1" applyAlignment="1">
      <alignment horizontal="center" vertical="center" wrapText="1"/>
    </xf>
    <xf numFmtId="0" fontId="10" fillId="0" borderId="0" xfId="0" applyFont="1"/>
    <xf numFmtId="176" fontId="8" fillId="0" borderId="0" xfId="0" applyNumberFormat="1" applyFont="1"/>
    <xf numFmtId="49" fontId="8" fillId="0" borderId="0" xfId="0" applyNumberFormat="1" applyFont="1"/>
    <xf numFmtId="7" fontId="8" fillId="0" borderId="0" xfId="2" applyNumberFormat="1" applyFont="1" applyFill="1" applyAlignment="1"/>
    <xf numFmtId="8" fontId="8" fillId="0" borderId="0" xfId="2" applyNumberFormat="1" applyFont="1" applyFill="1" applyAlignment="1"/>
    <xf numFmtId="164" fontId="8" fillId="0" borderId="0" xfId="2" applyNumberFormat="1" applyFont="1" applyFill="1" applyAlignment="1"/>
    <xf numFmtId="8" fontId="8" fillId="0" borderId="0" xfId="2" applyNumberFormat="1" applyFont="1" applyFill="1"/>
    <xf numFmtId="164" fontId="8" fillId="0" borderId="0" xfId="2" applyNumberFormat="1" applyFont="1" applyFill="1"/>
    <xf numFmtId="44" fontId="8" fillId="0" borderId="0" xfId="2" applyFont="1" applyFill="1" applyAlignment="1">
      <alignment horizontal="left"/>
    </xf>
    <xf numFmtId="172" fontId="8" fillId="3" borderId="7" xfId="0" applyNumberFormat="1" applyFont="1" applyFill="1" applyBorder="1" applyAlignment="1">
      <alignment horizontal="center"/>
    </xf>
    <xf numFmtId="0" fontId="69" fillId="0" borderId="36" xfId="8" applyFont="1" applyBorder="1" applyAlignment="1">
      <alignment horizontal="center" vertical="center" wrapText="1"/>
    </xf>
    <xf numFmtId="37" fontId="8" fillId="0" borderId="0" xfId="1" applyNumberFormat="1" applyFont="1" applyFill="1" applyBorder="1" applyAlignment="1">
      <alignment vertical="center"/>
    </xf>
    <xf numFmtId="164" fontId="8" fillId="0" borderId="0" xfId="2" applyNumberFormat="1" applyFont="1" applyFill="1" applyAlignment="1">
      <alignment horizontal="right"/>
    </xf>
    <xf numFmtId="44" fontId="8" fillId="0" borderId="0" xfId="2" applyFont="1" applyFill="1" applyAlignment="1">
      <alignment horizontal="right"/>
    </xf>
    <xf numFmtId="8" fontId="8" fillId="0" borderId="0" xfId="2" applyNumberFormat="1" applyFont="1" applyFill="1" applyBorder="1" applyAlignment="1">
      <alignment wrapText="1"/>
    </xf>
    <xf numFmtId="7" fontId="8" fillId="0" borderId="0" xfId="2" applyNumberFormat="1" applyFont="1" applyFill="1" applyBorder="1" applyAlignment="1">
      <alignment wrapText="1"/>
    </xf>
    <xf numFmtId="44" fontId="8" fillId="0" borderId="0" xfId="2" applyFont="1" applyFill="1" applyBorder="1" applyAlignment="1">
      <alignment horizontal="center" wrapText="1"/>
    </xf>
    <xf numFmtId="44" fontId="8" fillId="0" borderId="0" xfId="2" applyFont="1" applyFill="1" applyBorder="1" applyAlignment="1">
      <alignment vertical="top" wrapText="1"/>
    </xf>
    <xf numFmtId="44" fontId="8" fillId="0" borderId="0" xfId="2" applyFont="1" applyFill="1" applyBorder="1" applyAlignment="1">
      <alignment horizontal="left" wrapText="1"/>
    </xf>
    <xf numFmtId="164" fontId="8" fillId="0" borderId="0" xfId="2" applyNumberFormat="1" applyFont="1" applyFill="1" applyAlignment="1">
      <alignment horizontal="left"/>
    </xf>
    <xf numFmtId="180" fontId="8" fillId="0" borderId="0" xfId="2" applyNumberFormat="1" applyFont="1" applyFill="1" applyAlignment="1"/>
    <xf numFmtId="165" fontId="8" fillId="0" borderId="0" xfId="1" applyNumberFormat="1" applyFont="1" applyFill="1" applyBorder="1" applyAlignment="1">
      <alignment vertical="center"/>
    </xf>
    <xf numFmtId="0" fontId="8" fillId="0" borderId="64" xfId="0" applyFont="1" applyBorder="1"/>
    <xf numFmtId="44" fontId="8" fillId="0" borderId="64" xfId="2" applyFont="1" applyFill="1" applyBorder="1"/>
    <xf numFmtId="0" fontId="8" fillId="0" borderId="16" xfId="0" applyFont="1" applyBorder="1" applyAlignment="1">
      <alignment horizontal="left"/>
    </xf>
    <xf numFmtId="0" fontId="8" fillId="0" borderId="61" xfId="0" applyFont="1" applyBorder="1"/>
    <xf numFmtId="0" fontId="10" fillId="59" borderId="64" xfId="0" applyFont="1" applyFill="1" applyBorder="1" applyAlignment="1">
      <alignment horizontal="center" wrapText="1"/>
    </xf>
    <xf numFmtId="0" fontId="8" fillId="0" borderId="62" xfId="4" applyFont="1" applyBorder="1" applyAlignment="1">
      <alignment horizontal="center"/>
    </xf>
    <xf numFmtId="44" fontId="8" fillId="0" borderId="0" xfId="2" applyFont="1" applyFill="1" applyBorder="1" applyAlignment="1">
      <alignment horizontal="left"/>
    </xf>
    <xf numFmtId="165" fontId="8" fillId="0" borderId="0" xfId="1" applyNumberFormat="1" applyFont="1" applyFill="1" applyAlignment="1"/>
    <xf numFmtId="183" fontId="8" fillId="0" borderId="15" xfId="1" applyNumberFormat="1" applyFont="1" applyFill="1" applyBorder="1" applyAlignment="1">
      <alignment wrapText="1"/>
    </xf>
    <xf numFmtId="7" fontId="8" fillId="0" borderId="0" xfId="2" applyNumberFormat="1" applyFont="1" applyFill="1" applyAlignment="1">
      <alignment vertical="center"/>
    </xf>
    <xf numFmtId="0" fontId="10" fillId="0" borderId="61" xfId="0" applyFont="1" applyBorder="1" applyAlignment="1">
      <alignment horizontal="center" wrapText="1"/>
    </xf>
    <xf numFmtId="0" fontId="10" fillId="0" borderId="62" xfId="0" applyFont="1" applyBorder="1" applyAlignment="1">
      <alignment horizontal="center" wrapText="1"/>
    </xf>
    <xf numFmtId="0" fontId="10" fillId="0" borderId="62" xfId="0" applyFont="1" applyBorder="1" applyAlignment="1">
      <alignment horizontal="center" vertical="center" wrapText="1"/>
    </xf>
    <xf numFmtId="0" fontId="8" fillId="0" borderId="61" xfId="0" applyFont="1" applyBorder="1" applyAlignment="1">
      <alignment horizontal="center"/>
    </xf>
    <xf numFmtId="44" fontId="8" fillId="0" borderId="61" xfId="2" applyFont="1" applyFill="1" applyBorder="1" applyAlignment="1">
      <alignment horizontal="center"/>
    </xf>
    <xf numFmtId="44" fontId="8" fillId="0" borderId="60" xfId="2" applyFont="1" applyFill="1" applyBorder="1" applyAlignment="1">
      <alignment horizontal="center"/>
    </xf>
    <xf numFmtId="44" fontId="3" fillId="0" borderId="0" xfId="2" applyFont="1" applyFill="1" applyAlignment="1"/>
    <xf numFmtId="44" fontId="8" fillId="0" borderId="64" xfId="2" applyFont="1" applyFill="1" applyBorder="1" applyAlignment="1">
      <alignment horizontal="center" vertical="center"/>
    </xf>
    <xf numFmtId="165" fontId="8" fillId="0" borderId="60" xfId="1" applyNumberFormat="1" applyFont="1" applyFill="1" applyBorder="1" applyAlignment="1">
      <alignment vertical="center"/>
    </xf>
    <xf numFmtId="37" fontId="8" fillId="0" borderId="60" xfId="1" applyNumberFormat="1" applyFont="1" applyFill="1" applyBorder="1" applyAlignment="1">
      <alignment vertical="center"/>
    </xf>
    <xf numFmtId="165" fontId="8" fillId="0" borderId="62" xfId="1" applyNumberFormat="1" applyFont="1" applyFill="1" applyBorder="1" applyAlignment="1">
      <alignment vertical="center"/>
    </xf>
    <xf numFmtId="165" fontId="8" fillId="0" borderId="60" xfId="1" applyNumberFormat="1" applyFont="1" applyFill="1" applyBorder="1" applyAlignment="1">
      <alignment horizontal="center" vertical="center"/>
    </xf>
    <xf numFmtId="0" fontId="8" fillId="0" borderId="62" xfId="0" applyFont="1" applyBorder="1" applyAlignment="1">
      <alignment horizontal="center"/>
    </xf>
    <xf numFmtId="44" fontId="8" fillId="0" borderId="60" xfId="2" applyFont="1" applyFill="1" applyBorder="1" applyAlignment="1">
      <alignment vertical="center"/>
    </xf>
    <xf numFmtId="44" fontId="8" fillId="0" borderId="62" xfId="2" applyFont="1" applyFill="1" applyBorder="1" applyAlignment="1">
      <alignment horizontal="center"/>
    </xf>
    <xf numFmtId="44" fontId="8" fillId="0" borderId="60" xfId="2" applyFont="1" applyFill="1" applyBorder="1"/>
    <xf numFmtId="44" fontId="8" fillId="0" borderId="61" xfId="2" applyFont="1" applyFill="1" applyBorder="1"/>
    <xf numFmtId="44" fontId="8" fillId="0" borderId="62" xfId="2" applyFont="1" applyFill="1" applyBorder="1" applyAlignment="1">
      <alignment horizontal="left" wrapText="1"/>
    </xf>
    <xf numFmtId="37" fontId="8" fillId="0" borderId="61" xfId="2" applyNumberFormat="1" applyFont="1" applyFill="1" applyBorder="1"/>
    <xf numFmtId="165" fontId="8" fillId="0" borderId="60" xfId="1" applyNumberFormat="1" applyFont="1" applyFill="1" applyBorder="1" applyAlignment="1">
      <alignment horizontal="center"/>
    </xf>
    <xf numFmtId="7" fontId="8" fillId="0" borderId="61" xfId="2" applyNumberFormat="1" applyFont="1" applyFill="1" applyBorder="1"/>
    <xf numFmtId="7" fontId="8" fillId="0" borderId="62" xfId="2" applyNumberFormat="1" applyFont="1" applyFill="1" applyBorder="1" applyAlignment="1">
      <alignment horizontal="center" wrapText="1"/>
    </xf>
    <xf numFmtId="165" fontId="8" fillId="0" borderId="60" xfId="1" applyNumberFormat="1" applyFont="1" applyFill="1" applyBorder="1" applyAlignment="1">
      <alignment horizontal="right" vertical="center"/>
    </xf>
    <xf numFmtId="44" fontId="8" fillId="0" borderId="64" xfId="2" applyFont="1" applyFill="1" applyBorder="1" applyAlignment="1">
      <alignment horizontal="center"/>
    </xf>
    <xf numFmtId="165" fontId="8" fillId="0" borderId="60" xfId="1" applyNumberFormat="1" applyFont="1" applyFill="1" applyBorder="1" applyAlignment="1"/>
    <xf numFmtId="165" fontId="8" fillId="0" borderId="61" xfId="1" applyNumberFormat="1" applyFont="1" applyFill="1" applyBorder="1" applyAlignment="1">
      <alignment horizontal="center"/>
    </xf>
    <xf numFmtId="0" fontId="8" fillId="0" borderId="61" xfId="3" applyNumberFormat="1" applyFont="1" applyFill="1" applyBorder="1" applyAlignment="1">
      <alignment horizontal="center"/>
    </xf>
    <xf numFmtId="44" fontId="8" fillId="0" borderId="60" xfId="2" applyFont="1" applyFill="1" applyBorder="1" applyAlignment="1">
      <alignment horizontal="left"/>
    </xf>
    <xf numFmtId="165" fontId="8" fillId="0" borderId="60" xfId="1" applyNumberFormat="1" applyFont="1" applyFill="1" applyBorder="1" applyAlignment="1">
      <alignment horizontal="center" vertical="top"/>
    </xf>
    <xf numFmtId="43" fontId="8" fillId="0" borderId="60" xfId="1" applyFont="1" applyFill="1" applyBorder="1" applyAlignment="1"/>
    <xf numFmtId="168" fontId="8" fillId="0" borderId="60" xfId="1" applyNumberFormat="1" applyFont="1" applyFill="1" applyBorder="1" applyAlignment="1">
      <alignment horizontal="right" vertical="center"/>
    </xf>
    <xf numFmtId="165" fontId="8" fillId="0" borderId="61" xfId="1" applyNumberFormat="1" applyFont="1" applyFill="1" applyBorder="1" applyAlignment="1"/>
    <xf numFmtId="43" fontId="8" fillId="0" borderId="60" xfId="1" applyFont="1" applyFill="1" applyBorder="1" applyAlignment="1">
      <alignment horizontal="center"/>
    </xf>
    <xf numFmtId="37" fontId="8" fillId="0" borderId="60" xfId="1" applyNumberFormat="1" applyFont="1" applyFill="1" applyBorder="1" applyAlignment="1">
      <alignment horizontal="right" vertical="center"/>
    </xf>
    <xf numFmtId="0" fontId="8" fillId="0" borderId="63" xfId="0" applyFont="1" applyBorder="1" applyAlignment="1">
      <alignment horizontal="left"/>
    </xf>
    <xf numFmtId="15" fontId="8" fillId="0" borderId="64" xfId="0" applyNumberFormat="1" applyFont="1" applyBorder="1" applyAlignment="1">
      <alignment horizontal="center"/>
    </xf>
    <xf numFmtId="0" fontId="8" fillId="0" borderId="62" xfId="4" quotePrefix="1" applyFont="1" applyBorder="1" applyAlignment="1">
      <alignment horizontal="center"/>
    </xf>
    <xf numFmtId="165" fontId="10" fillId="0" borderId="67" xfId="1" applyNumberFormat="1" applyFont="1" applyFill="1" applyBorder="1" applyAlignment="1">
      <alignment horizontal="center" vertical="center"/>
    </xf>
    <xf numFmtId="8" fontId="8" fillId="0" borderId="0" xfId="2" applyNumberFormat="1" applyFont="1" applyFill="1" applyAlignment="1">
      <alignment horizontal="right"/>
    </xf>
    <xf numFmtId="8" fontId="8" fillId="0" borderId="0" xfId="2" applyNumberFormat="1" applyFont="1" applyFill="1" applyBorder="1"/>
    <xf numFmtId="7" fontId="8" fillId="0" borderId="73" xfId="2" applyNumberFormat="1" applyFont="1" applyFill="1" applyBorder="1" applyAlignment="1">
      <alignment wrapText="1"/>
    </xf>
    <xf numFmtId="44" fontId="8" fillId="0" borderId="73" xfId="2" applyFont="1" applyFill="1" applyBorder="1" applyAlignment="1">
      <alignment wrapText="1"/>
    </xf>
    <xf numFmtId="8" fontId="8" fillId="0" borderId="73" xfId="2" applyNumberFormat="1" applyFont="1" applyFill="1" applyBorder="1" applyAlignment="1">
      <alignment wrapText="1"/>
    </xf>
    <xf numFmtId="44" fontId="8" fillId="0" borderId="74" xfId="2" applyFont="1" applyFill="1" applyBorder="1" applyAlignment="1">
      <alignment horizontal="center"/>
    </xf>
    <xf numFmtId="165" fontId="8" fillId="0" borderId="73" xfId="1" applyNumberFormat="1" applyFont="1" applyFill="1" applyBorder="1" applyAlignment="1"/>
    <xf numFmtId="44" fontId="8" fillId="0" borderId="73" xfId="2" applyFont="1" applyFill="1" applyBorder="1" applyAlignment="1">
      <alignment vertical="top" wrapText="1"/>
    </xf>
    <xf numFmtId="44" fontId="8" fillId="0" borderId="73" xfId="2" applyFont="1" applyFill="1" applyBorder="1" applyAlignment="1">
      <alignment horizontal="left" wrapText="1"/>
    </xf>
    <xf numFmtId="44" fontId="8" fillId="0" borderId="73" xfId="2" applyFont="1" applyFill="1" applyBorder="1" applyAlignment="1">
      <alignment horizontal="left" vertical="top" wrapText="1"/>
    </xf>
    <xf numFmtId="0" fontId="8" fillId="3" borderId="74" xfId="0" applyFont="1" applyFill="1" applyBorder="1" applyAlignment="1">
      <alignment horizontal="center" wrapText="1"/>
    </xf>
    <xf numFmtId="0" fontId="8" fillId="3" borderId="74" xfId="0" applyFont="1" applyFill="1" applyBorder="1" applyAlignment="1">
      <alignment horizontal="center"/>
    </xf>
    <xf numFmtId="0" fontId="8" fillId="3" borderId="74" xfId="0" applyFont="1" applyFill="1" applyBorder="1"/>
    <xf numFmtId="172" fontId="8" fillId="3" borderId="74" xfId="0" applyNumberFormat="1" applyFont="1" applyFill="1" applyBorder="1" applyAlignment="1">
      <alignment horizontal="center"/>
    </xf>
    <xf numFmtId="0" fontId="8" fillId="0" borderId="83" xfId="0" applyFont="1" applyBorder="1" applyAlignment="1">
      <alignment horizontal="center"/>
    </xf>
    <xf numFmtId="165" fontId="8" fillId="0" borderId="81" xfId="1" applyNumberFormat="1" applyFont="1" applyFill="1" applyBorder="1" applyAlignment="1">
      <alignment vertical="center"/>
    </xf>
    <xf numFmtId="44" fontId="8" fillId="0" borderId="81" xfId="2" applyFont="1" applyFill="1" applyBorder="1"/>
    <xf numFmtId="172" fontId="8" fillId="0" borderId="82" xfId="0" applyNumberFormat="1" applyFont="1" applyBorder="1" applyAlignment="1">
      <alignment horizontal="center"/>
    </xf>
    <xf numFmtId="44" fontId="8" fillId="0" borderId="66" xfId="2" applyFont="1" applyFill="1" applyBorder="1" applyAlignment="1">
      <alignment horizontal="center"/>
    </xf>
    <xf numFmtId="44" fontId="8" fillId="0" borderId="66" xfId="2" applyFont="1" applyFill="1" applyBorder="1"/>
    <xf numFmtId="165" fontId="8" fillId="0" borderId="1" xfId="1" applyNumberFormat="1" applyFont="1" applyFill="1" applyBorder="1" applyAlignment="1"/>
    <xf numFmtId="187" fontId="8" fillId="0" borderId="0" xfId="2" applyNumberFormat="1" applyFont="1" applyFill="1" applyAlignment="1"/>
    <xf numFmtId="2" fontId="8" fillId="0" borderId="66" xfId="2" applyNumberFormat="1" applyFont="1" applyFill="1" applyBorder="1" applyAlignment="1">
      <alignment horizontal="center"/>
    </xf>
    <xf numFmtId="0" fontId="10" fillId="0" borderId="86" xfId="0" applyFont="1" applyBorder="1" applyAlignment="1">
      <alignment horizontal="center" wrapText="1"/>
    </xf>
    <xf numFmtId="0" fontId="8" fillId="0" borderId="86" xfId="0" applyFont="1" applyBorder="1" applyAlignment="1">
      <alignment horizontal="center"/>
    </xf>
    <xf numFmtId="44" fontId="8" fillId="0" borderId="86" xfId="2" applyFont="1" applyFill="1" applyBorder="1" applyAlignment="1">
      <alignment vertical="center"/>
    </xf>
    <xf numFmtId="0" fontId="8" fillId="0" borderId="86" xfId="0" applyFont="1" applyBorder="1" applyAlignment="1">
      <alignment horizontal="center" wrapText="1"/>
    </xf>
    <xf numFmtId="8" fontId="8" fillId="0" borderId="86" xfId="2" applyNumberFormat="1" applyFont="1" applyFill="1" applyBorder="1" applyAlignment="1">
      <alignment vertical="center"/>
    </xf>
    <xf numFmtId="8" fontId="8" fillId="0" borderId="86" xfId="2" applyNumberFormat="1" applyFont="1" applyFill="1" applyBorder="1"/>
    <xf numFmtId="44" fontId="8" fillId="0" borderId="86" xfId="2" applyFont="1" applyFill="1" applyBorder="1" applyAlignment="1">
      <alignment horizontal="center" vertical="center"/>
    </xf>
    <xf numFmtId="44" fontId="8" fillId="0" borderId="86" xfId="2" applyFont="1" applyFill="1" applyBorder="1" applyAlignment="1">
      <alignment wrapText="1"/>
    </xf>
    <xf numFmtId="44" fontId="8" fillId="0" borderId="86" xfId="2" applyFont="1" applyFill="1" applyBorder="1"/>
    <xf numFmtId="44" fontId="8" fillId="0" borderId="86" xfId="2" applyFont="1" applyFill="1" applyBorder="1" applyAlignment="1">
      <alignment horizontal="center"/>
    </xf>
    <xf numFmtId="165" fontId="8" fillId="0" borderId="86" xfId="1" applyNumberFormat="1" applyFont="1" applyFill="1" applyBorder="1" applyAlignment="1">
      <alignment vertical="center"/>
    </xf>
    <xf numFmtId="2" fontId="8" fillId="0" borderId="86" xfId="2" applyNumberFormat="1" applyFont="1" applyFill="1" applyBorder="1" applyAlignment="1">
      <alignment horizontal="center" vertical="center"/>
    </xf>
    <xf numFmtId="2" fontId="8" fillId="0" borderId="86" xfId="2" applyNumberFormat="1" applyFont="1" applyFill="1" applyBorder="1" applyAlignment="1">
      <alignment horizontal="center"/>
    </xf>
    <xf numFmtId="44" fontId="8" fillId="0" borderId="86" xfId="2" applyFont="1" applyFill="1" applyBorder="1" applyAlignment="1"/>
    <xf numFmtId="8" fontId="8" fillId="0" borderId="86" xfId="2" applyNumberFormat="1" applyFont="1" applyFill="1" applyBorder="1" applyAlignment="1"/>
    <xf numFmtId="44" fontId="8" fillId="0" borderId="86" xfId="2" applyFont="1" applyFill="1" applyBorder="1" applyAlignment="1">
      <alignment horizontal="center" wrapText="1"/>
    </xf>
    <xf numFmtId="164" fontId="8" fillId="0" borderId="86" xfId="2" applyNumberFormat="1" applyFont="1" applyFill="1" applyBorder="1" applyAlignment="1">
      <alignment horizontal="right"/>
    </xf>
    <xf numFmtId="164" fontId="8" fillId="0" borderId="86" xfId="2" applyNumberFormat="1" applyFont="1" applyFill="1" applyBorder="1"/>
    <xf numFmtId="165" fontId="8" fillId="0" borderId="86" xfId="1" applyNumberFormat="1" applyFont="1" applyFill="1" applyBorder="1" applyAlignment="1">
      <alignment horizontal="center"/>
    </xf>
    <xf numFmtId="2" fontId="8" fillId="0" borderId="86" xfId="0" applyNumberFormat="1" applyFont="1" applyBorder="1" applyAlignment="1">
      <alignment horizontal="center"/>
    </xf>
    <xf numFmtId="164" fontId="8" fillId="0" borderId="86" xfId="2" applyNumberFormat="1" applyFont="1" applyFill="1" applyBorder="1" applyAlignment="1">
      <alignment horizontal="center"/>
    </xf>
    <xf numFmtId="167" fontId="8" fillId="0" borderId="86" xfId="1" applyNumberFormat="1" applyFont="1" applyFill="1" applyBorder="1"/>
    <xf numFmtId="181" fontId="8" fillId="0" borderId="86" xfId="1" applyNumberFormat="1" applyFont="1" applyFill="1" applyBorder="1"/>
    <xf numFmtId="39" fontId="8" fillId="0" borderId="86" xfId="1" applyNumberFormat="1" applyFont="1" applyFill="1" applyBorder="1"/>
    <xf numFmtId="44" fontId="8" fillId="0" borderId="86" xfId="2" applyFont="1" applyFill="1" applyBorder="1" applyAlignment="1">
      <alignment horizontal="right"/>
    </xf>
    <xf numFmtId="173" fontId="8" fillId="0" borderId="86" xfId="2" applyNumberFormat="1" applyFont="1" applyFill="1" applyBorder="1"/>
    <xf numFmtId="165" fontId="8" fillId="0" borderId="86" xfId="1" applyNumberFormat="1" applyFont="1" applyFill="1" applyBorder="1" applyAlignment="1">
      <alignment horizontal="center" vertical="center"/>
    </xf>
    <xf numFmtId="8" fontId="8" fillId="0" borderId="86" xfId="2" applyNumberFormat="1" applyFont="1" applyFill="1" applyBorder="1" applyAlignment="1">
      <alignment horizontal="right"/>
    </xf>
    <xf numFmtId="164" fontId="8" fillId="0" borderId="86" xfId="2" applyNumberFormat="1" applyFont="1" applyFill="1" applyBorder="1" applyAlignment="1"/>
    <xf numFmtId="7" fontId="8" fillId="0" borderId="86" xfId="2" applyNumberFormat="1" applyFont="1" applyFill="1" applyBorder="1" applyAlignment="1">
      <alignment horizontal="right"/>
    </xf>
    <xf numFmtId="7" fontId="8" fillId="0" borderId="86" xfId="2" applyNumberFormat="1" applyFont="1" applyFill="1" applyBorder="1"/>
    <xf numFmtId="7" fontId="8" fillId="0" borderId="86" xfId="2" applyNumberFormat="1" applyFont="1" applyFill="1" applyBorder="1" applyAlignment="1">
      <alignment horizontal="center"/>
    </xf>
    <xf numFmtId="7" fontId="8" fillId="0" borderId="86" xfId="2" applyNumberFormat="1" applyFont="1" applyFill="1" applyBorder="1" applyAlignment="1">
      <alignment horizontal="right" vertical="center"/>
    </xf>
    <xf numFmtId="165" fontId="8" fillId="0" borderId="86" xfId="1" applyNumberFormat="1" applyFont="1" applyFill="1" applyBorder="1" applyAlignment="1">
      <alignment horizontal="right" vertical="center"/>
    </xf>
    <xf numFmtId="8" fontId="8" fillId="0" borderId="86" xfId="2" applyNumberFormat="1" applyFont="1" applyFill="1" applyBorder="1" applyAlignment="1">
      <alignment horizontal="right" vertical="center"/>
    </xf>
    <xf numFmtId="2" fontId="8" fillId="0" borderId="86" xfId="0" applyNumberFormat="1" applyFont="1" applyBorder="1" applyAlignment="1">
      <alignment horizontal="center" vertical="center"/>
    </xf>
    <xf numFmtId="44" fontId="8" fillId="0" borderId="86" xfId="2" applyFont="1" applyFill="1" applyBorder="1" applyAlignment="1">
      <alignment horizontal="center" vertical="center" wrapText="1"/>
    </xf>
    <xf numFmtId="4" fontId="8" fillId="0" borderId="86" xfId="0" applyNumberFormat="1" applyFont="1" applyBorder="1" applyAlignment="1">
      <alignment horizontal="center"/>
    </xf>
    <xf numFmtId="165" fontId="8" fillId="0" borderId="86" xfId="1" applyNumberFormat="1" applyFont="1" applyFill="1" applyBorder="1" applyAlignment="1">
      <alignment horizontal="left"/>
    </xf>
    <xf numFmtId="166" fontId="8" fillId="0" borderId="86" xfId="2" applyNumberFormat="1" applyFont="1" applyFill="1" applyBorder="1" applyAlignment="1">
      <alignment horizontal="center"/>
    </xf>
    <xf numFmtId="180" fontId="8" fillId="0" borderId="86" xfId="2" applyNumberFormat="1" applyFont="1" applyFill="1" applyBorder="1"/>
    <xf numFmtId="167" fontId="8" fillId="0" borderId="86" xfId="1" applyNumberFormat="1" applyFont="1" applyFill="1" applyBorder="1" applyAlignment="1">
      <alignment horizontal="center"/>
    </xf>
    <xf numFmtId="164" fontId="8" fillId="0" borderId="86" xfId="2" applyNumberFormat="1" applyFont="1" applyFill="1" applyBorder="1" applyAlignment="1">
      <alignment vertical="center" wrapText="1"/>
    </xf>
    <xf numFmtId="8" fontId="8" fillId="0" borderId="86" xfId="2" applyNumberFormat="1" applyFont="1" applyFill="1" applyBorder="1" applyAlignment="1">
      <alignment vertical="center" wrapText="1"/>
    </xf>
    <xf numFmtId="0" fontId="10" fillId="59" borderId="86" xfId="0" applyFont="1" applyFill="1" applyBorder="1" applyAlignment="1">
      <alignment horizontal="center" wrapText="1"/>
    </xf>
    <xf numFmtId="15" fontId="8" fillId="0" borderId="86" xfId="0" applyNumberFormat="1" applyFont="1" applyBorder="1" applyAlignment="1">
      <alignment horizontal="center" wrapText="1"/>
    </xf>
    <xf numFmtId="15" fontId="8" fillId="0" borderId="86" xfId="0" applyNumberFormat="1" applyFont="1" applyBorder="1" applyAlignment="1">
      <alignment horizontal="center"/>
    </xf>
    <xf numFmtId="0" fontId="10" fillId="0" borderId="91" xfId="0" applyFont="1" applyBorder="1" applyAlignment="1">
      <alignment horizontal="center" vertical="center" wrapText="1"/>
    </xf>
    <xf numFmtId="0" fontId="8" fillId="0" borderId="86" xfId="0" applyFont="1" applyBorder="1" applyAlignment="1">
      <alignment horizontal="left" indent="1"/>
    </xf>
    <xf numFmtId="0" fontId="8" fillId="0" borderId="86" xfId="4" applyFont="1" applyBorder="1" applyAlignment="1">
      <alignment horizontal="center"/>
    </xf>
    <xf numFmtId="0" fontId="0" fillId="0" borderId="86" xfId="0" applyBorder="1" applyAlignment="1">
      <alignment horizontal="left" vertical="top" wrapText="1"/>
    </xf>
    <xf numFmtId="0" fontId="0" fillId="0" borderId="86" xfId="0" applyBorder="1" applyAlignment="1">
      <alignment horizontal="center" vertical="center" wrapText="1"/>
    </xf>
    <xf numFmtId="1" fontId="8" fillId="0" borderId="86" xfId="0" applyNumberFormat="1" applyFont="1" applyBorder="1" applyAlignment="1">
      <alignment horizontal="center"/>
    </xf>
    <xf numFmtId="0" fontId="26" fillId="0" borderId="86" xfId="0" applyFont="1" applyBorder="1"/>
    <xf numFmtId="37" fontId="0" fillId="0" borderId="86" xfId="1" applyNumberFormat="1" applyFont="1" applyFill="1" applyBorder="1" applyAlignment="1">
      <alignment horizontal="center"/>
    </xf>
    <xf numFmtId="2" fontId="0" fillId="0" borderId="86" xfId="0" applyNumberFormat="1" applyBorder="1" applyAlignment="1">
      <alignment horizontal="center" vertical="center"/>
    </xf>
    <xf numFmtId="2" fontId="8" fillId="4" borderId="86" xfId="0" applyNumberFormat="1" applyFont="1" applyFill="1" applyBorder="1" applyAlignment="1">
      <alignment horizontal="center" vertical="center"/>
    </xf>
    <xf numFmtId="0" fontId="24" fillId="5" borderId="86" xfId="0" applyFont="1" applyFill="1" applyBorder="1" applyAlignment="1">
      <alignment horizontal="center"/>
    </xf>
    <xf numFmtId="0" fontId="0" fillId="0" borderId="86" xfId="0" applyBorder="1" applyAlignment="1">
      <alignment horizontal="center" vertical="center"/>
    </xf>
    <xf numFmtId="0" fontId="8" fillId="0" borderId="88" xfId="0" applyFont="1" applyBorder="1" applyAlignment="1">
      <alignment horizontal="center"/>
    </xf>
    <xf numFmtId="0" fontId="8" fillId="0" borderId="87" xfId="0" applyFont="1" applyBorder="1" applyAlignment="1">
      <alignment horizontal="center"/>
    </xf>
    <xf numFmtId="0" fontId="10" fillId="0" borderId="88" xfId="0" applyFont="1" applyBorder="1" applyAlignment="1">
      <alignment horizontal="center" wrapText="1"/>
    </xf>
    <xf numFmtId="0" fontId="10" fillId="0" borderId="87" xfId="0" applyFont="1" applyBorder="1" applyAlignment="1">
      <alignment horizontal="center" wrapText="1"/>
    </xf>
    <xf numFmtId="0" fontId="8" fillId="0" borderId="88" xfId="0" applyFont="1" applyBorder="1" applyAlignment="1">
      <alignment horizontal="center" wrapText="1"/>
    </xf>
    <xf numFmtId="0" fontId="8" fillId="0" borderId="88" xfId="0" applyFont="1" applyBorder="1" applyAlignment="1">
      <alignment horizontal="left" wrapText="1"/>
    </xf>
    <xf numFmtId="0" fontId="8" fillId="0" borderId="88" xfId="0" applyFont="1" applyBorder="1" applyAlignment="1">
      <alignment horizontal="left"/>
    </xf>
    <xf numFmtId="166" fontId="8" fillId="0" borderId="87" xfId="0" applyNumberFormat="1" applyFont="1" applyBorder="1" applyAlignment="1">
      <alignment horizontal="center"/>
    </xf>
    <xf numFmtId="0" fontId="8" fillId="0" borderId="87" xfId="4" applyFont="1" applyBorder="1" applyAlignment="1">
      <alignment horizontal="center"/>
    </xf>
    <xf numFmtId="44" fontId="8" fillId="0" borderId="62" xfId="2" applyFont="1" applyFill="1" applyBorder="1"/>
    <xf numFmtId="165" fontId="8" fillId="0" borderId="1" xfId="1" applyNumberFormat="1" applyFont="1" applyFill="1" applyBorder="1" applyAlignment="1">
      <alignment horizontal="right" vertical="center"/>
    </xf>
    <xf numFmtId="164" fontId="8" fillId="0" borderId="0" xfId="2" applyNumberFormat="1" applyFont="1" applyFill="1" applyBorder="1"/>
    <xf numFmtId="165" fontId="8" fillId="0" borderId="84" xfId="1" applyNumberFormat="1" applyFont="1" applyFill="1" applyBorder="1" applyAlignment="1">
      <alignment vertical="center"/>
    </xf>
    <xf numFmtId="164" fontId="8" fillId="0" borderId="73" xfId="2" applyNumberFormat="1" applyFont="1" applyFill="1" applyBorder="1" applyAlignment="1">
      <alignment vertical="top" wrapText="1"/>
    </xf>
    <xf numFmtId="165" fontId="8" fillId="0" borderId="62" xfId="1" applyNumberFormat="1" applyFont="1" applyFill="1" applyBorder="1" applyAlignment="1">
      <alignment horizontal="center" vertical="center"/>
    </xf>
    <xf numFmtId="165" fontId="8" fillId="0" borderId="62" xfId="1" applyNumberFormat="1" applyFont="1" applyFill="1" applyBorder="1" applyAlignment="1">
      <alignment horizontal="right" vertical="center" wrapText="1"/>
    </xf>
    <xf numFmtId="44" fontId="8" fillId="0" borderId="61" xfId="2" applyFont="1" applyFill="1" applyBorder="1" applyAlignment="1">
      <alignment horizontal="center" vertical="center"/>
    </xf>
    <xf numFmtId="0" fontId="8" fillId="0" borderId="86" xfId="2" applyNumberFormat="1" applyFont="1" applyFill="1" applyBorder="1"/>
    <xf numFmtId="165" fontId="8" fillId="0" borderId="7" xfId="1" applyNumberFormat="1" applyFont="1" applyFill="1" applyBorder="1" applyAlignment="1">
      <alignment vertical="center"/>
    </xf>
    <xf numFmtId="44" fontId="8" fillId="0" borderId="66" xfId="2" applyFont="1" applyFill="1" applyBorder="1" applyAlignment="1">
      <alignment vertical="center"/>
    </xf>
    <xf numFmtId="8" fontId="8" fillId="0" borderId="64" xfId="2" applyNumberFormat="1" applyFont="1" applyFill="1" applyBorder="1"/>
    <xf numFmtId="9" fontId="8" fillId="0" borderId="61" xfId="3" applyFont="1" applyFill="1" applyBorder="1" applyAlignment="1">
      <alignment horizontal="center"/>
    </xf>
    <xf numFmtId="44" fontId="0" fillId="0" borderId="86" xfId="2" applyFont="1" applyFill="1" applyBorder="1"/>
    <xf numFmtId="8" fontId="8" fillId="0" borderId="86" xfId="2" applyNumberFormat="1" applyFont="1" applyFill="1" applyBorder="1" applyAlignment="1">
      <alignment horizontal="center"/>
    </xf>
    <xf numFmtId="8" fontId="8" fillId="0" borderId="60" xfId="2" applyNumberFormat="1" applyFont="1" applyFill="1" applyBorder="1" applyAlignment="1"/>
    <xf numFmtId="0" fontId="8" fillId="0" borderId="88" xfId="10" applyFont="1" applyBorder="1" applyAlignment="1">
      <alignment horizontal="center"/>
    </xf>
    <xf numFmtId="0" fontId="8" fillId="0" borderId="93" xfId="0" applyFont="1" applyBorder="1" applyAlignment="1">
      <alignment vertical="top" wrapText="1"/>
    </xf>
    <xf numFmtId="0" fontId="8" fillId="0" borderId="93" xfId="0" applyFont="1" applyBorder="1" applyAlignment="1">
      <alignment horizontal="center"/>
    </xf>
    <xf numFmtId="44" fontId="8" fillId="0" borderId="93" xfId="2" applyFont="1" applyFill="1" applyBorder="1"/>
    <xf numFmtId="0" fontId="0" fillId="0" borderId="93" xfId="0" applyBorder="1" applyAlignment="1">
      <alignment vertical="top"/>
    </xf>
    <xf numFmtId="0" fontId="0" fillId="0" borderId="93" xfId="0" applyBorder="1" applyAlignment="1">
      <alignment horizontal="left" vertical="center"/>
    </xf>
    <xf numFmtId="0" fontId="0" fillId="0" borderId="93" xfId="0" applyBorder="1" applyAlignment="1">
      <alignment horizontal="center" vertical="center" wrapText="1"/>
    </xf>
    <xf numFmtId="0" fontId="0" fillId="0" borderId="93" xfId="0" applyBorder="1" applyAlignment="1">
      <alignment wrapText="1"/>
    </xf>
    <xf numFmtId="0" fontId="0" fillId="0" borderId="93" xfId="0" applyBorder="1"/>
    <xf numFmtId="0" fontId="8" fillId="0" borderId="93" xfId="0" applyFont="1" applyBorder="1"/>
    <xf numFmtId="44" fontId="8" fillId="0" borderId="93" xfId="2" applyFont="1" applyFill="1" applyBorder="1" applyAlignment="1">
      <alignment horizontal="center"/>
    </xf>
    <xf numFmtId="0" fontId="8" fillId="0" borderId="93" xfId="0" applyFont="1" applyBorder="1" applyAlignment="1">
      <alignment wrapText="1"/>
    </xf>
    <xf numFmtId="164" fontId="8" fillId="0" borderId="93" xfId="2" applyNumberFormat="1" applyFont="1" applyFill="1" applyBorder="1" applyAlignment="1">
      <alignment horizontal="right"/>
    </xf>
    <xf numFmtId="164" fontId="8" fillId="0" borderId="93" xfId="2" quotePrefix="1" applyNumberFormat="1" applyFont="1" applyFill="1" applyBorder="1" applyAlignment="1">
      <alignment horizontal="right"/>
    </xf>
    <xf numFmtId="0" fontId="8" fillId="0" borderId="93" xfId="0" applyFont="1" applyBorder="1" applyAlignment="1">
      <alignment vertical="center" wrapText="1"/>
    </xf>
    <xf numFmtId="0" fontId="8" fillId="0" borderId="93" xfId="0" applyFont="1" applyBorder="1" applyAlignment="1">
      <alignment horizontal="left" indent="1"/>
    </xf>
    <xf numFmtId="44" fontId="8" fillId="0" borderId="101" xfId="2" applyFont="1" applyFill="1" applyBorder="1"/>
    <xf numFmtId="8" fontId="8" fillId="0" borderId="0" xfId="2" applyNumberFormat="1" applyFont="1" applyFill="1" applyBorder="1" applyAlignment="1"/>
    <xf numFmtId="164" fontId="8" fillId="0" borderId="86" xfId="2" applyNumberFormat="1" applyFont="1" applyFill="1" applyBorder="1" applyAlignment="1">
      <alignment vertical="center"/>
    </xf>
    <xf numFmtId="166" fontId="74" fillId="0" borderId="0" xfId="0" applyNumberFormat="1" applyFont="1" applyAlignment="1">
      <alignment horizontal="center" vertical="center" wrapText="1"/>
    </xf>
    <xf numFmtId="166" fontId="74" fillId="0" borderId="0" xfId="0" applyNumberFormat="1" applyFont="1" applyAlignment="1">
      <alignment horizontal="center" vertical="center"/>
    </xf>
    <xf numFmtId="2" fontId="8" fillId="0" borderId="97" xfId="0" applyNumberFormat="1" applyFont="1" applyBorder="1" applyAlignment="1">
      <alignment horizontal="center" wrapText="1"/>
    </xf>
    <xf numFmtId="2" fontId="8" fillId="0" borderId="97" xfId="0" applyNumberFormat="1" applyFont="1" applyBorder="1" applyAlignment="1">
      <alignment horizontal="center"/>
    </xf>
    <xf numFmtId="2" fontId="8" fillId="0" borderId="100" xfId="0" applyNumberFormat="1" applyFont="1" applyBorder="1" applyAlignment="1">
      <alignment horizontal="center"/>
    </xf>
    <xf numFmtId="166" fontId="8" fillId="0" borderId="96" xfId="0" applyNumberFormat="1" applyFont="1" applyBorder="1" applyAlignment="1">
      <alignment horizontal="center"/>
    </xf>
    <xf numFmtId="0" fontId="8" fillId="3" borderId="101" xfId="0" applyFont="1" applyFill="1" applyBorder="1" applyAlignment="1">
      <alignment horizontal="center" wrapText="1"/>
    </xf>
    <xf numFmtId="0" fontId="75" fillId="0" borderId="0" xfId="0" applyFont="1" applyAlignment="1">
      <alignment horizontal="center" wrapText="1"/>
    </xf>
    <xf numFmtId="166" fontId="74" fillId="0" borderId="0" xfId="0" applyNumberFormat="1" applyFont="1"/>
    <xf numFmtId="8" fontId="8" fillId="0" borderId="93" xfId="2" applyNumberFormat="1" applyFont="1" applyFill="1" applyBorder="1" applyAlignment="1">
      <alignment vertical="center"/>
    </xf>
    <xf numFmtId="7" fontId="8" fillId="0" borderId="98" xfId="2" applyNumberFormat="1" applyFont="1" applyFill="1" applyBorder="1" applyAlignment="1">
      <alignment horizontal="right"/>
    </xf>
    <xf numFmtId="165" fontId="8" fillId="0" borderId="98" xfId="1" applyNumberFormat="1" applyFont="1" applyFill="1" applyBorder="1" applyAlignment="1">
      <alignment horizontal="right"/>
    </xf>
    <xf numFmtId="8" fontId="8" fillId="0" borderId="93" xfId="2" applyNumberFormat="1" applyFont="1" applyFill="1" applyBorder="1" applyAlignment="1">
      <alignment horizontal="right"/>
    </xf>
    <xf numFmtId="165" fontId="8" fillId="0" borderId="93" xfId="1" applyNumberFormat="1" applyFont="1" applyFill="1" applyBorder="1" applyAlignment="1">
      <alignment horizontal="center"/>
    </xf>
    <xf numFmtId="8" fontId="8" fillId="0" borderId="5" xfId="2" applyNumberFormat="1" applyFont="1" applyFill="1" applyBorder="1"/>
    <xf numFmtId="165" fontId="8" fillId="0" borderId="14" xfId="1" applyNumberFormat="1" applyFont="1" applyFill="1" applyBorder="1" applyAlignment="1">
      <alignment vertical="center"/>
    </xf>
    <xf numFmtId="8" fontId="8" fillId="0" borderId="5" xfId="2" applyNumberFormat="1" applyFont="1" applyFill="1" applyBorder="1" applyAlignment="1"/>
    <xf numFmtId="1" fontId="8" fillId="0" borderId="86" xfId="2" applyNumberFormat="1" applyFont="1" applyFill="1" applyBorder="1" applyAlignment="1">
      <alignment vertical="center"/>
    </xf>
    <xf numFmtId="165" fontId="8" fillId="0" borderId="7" xfId="1" applyNumberFormat="1" applyFont="1" applyFill="1" applyBorder="1" applyAlignment="1">
      <alignment horizontal="center"/>
    </xf>
    <xf numFmtId="8" fontId="8" fillId="0" borderId="93" xfId="2" applyNumberFormat="1" applyFont="1" applyFill="1" applyBorder="1" applyAlignment="1"/>
    <xf numFmtId="44" fontId="10" fillId="0" borderId="93" xfId="2" applyFont="1" applyFill="1" applyBorder="1"/>
    <xf numFmtId="8" fontId="8" fillId="0" borderId="7" xfId="2" applyNumberFormat="1" applyFont="1" applyFill="1" applyBorder="1" applyAlignment="1">
      <alignment horizontal="center"/>
    </xf>
    <xf numFmtId="8" fontId="8" fillId="0" borderId="101" xfId="2" applyNumberFormat="1" applyFont="1" applyFill="1" applyBorder="1" applyAlignment="1"/>
    <xf numFmtId="44" fontId="10" fillId="0" borderId="7" xfId="2" applyFont="1" applyFill="1" applyBorder="1" applyAlignment="1">
      <alignment horizontal="center"/>
    </xf>
    <xf numFmtId="8" fontId="8" fillId="0" borderId="93" xfId="2" applyNumberFormat="1" applyFont="1" applyFill="1" applyBorder="1"/>
    <xf numFmtId="8" fontId="8" fillId="0" borderId="101" xfId="2" applyNumberFormat="1" applyFont="1" applyFill="1" applyBorder="1"/>
    <xf numFmtId="8" fontId="8" fillId="0" borderId="101" xfId="2" applyNumberFormat="1" applyFont="1" applyFill="1" applyBorder="1" applyAlignment="1">
      <alignment vertical="center"/>
    </xf>
    <xf numFmtId="7" fontId="8" fillId="0" borderId="93" xfId="2" applyNumberFormat="1" applyFont="1" applyFill="1" applyBorder="1"/>
    <xf numFmtId="164" fontId="8" fillId="0" borderId="0" xfId="2" applyNumberFormat="1" applyFont="1" applyFill="1" applyBorder="1" applyAlignment="1"/>
    <xf numFmtId="44" fontId="7" fillId="0" borderId="0" xfId="2" applyFont="1" applyFill="1" applyBorder="1" applyAlignment="1">
      <alignment horizontal="right" vertical="top"/>
    </xf>
    <xf numFmtId="39" fontId="8" fillId="0" borderId="93" xfId="1" applyNumberFormat="1" applyFont="1" applyFill="1" applyBorder="1"/>
    <xf numFmtId="1" fontId="8" fillId="0" borderId="93" xfId="2" applyNumberFormat="1" applyFont="1" applyFill="1" applyBorder="1" applyAlignment="1">
      <alignment horizontal="center" vertical="center"/>
    </xf>
    <xf numFmtId="44" fontId="8" fillId="0" borderId="98" xfId="2" applyFont="1" applyFill="1" applyBorder="1" applyAlignment="1">
      <alignment horizontal="center"/>
    </xf>
    <xf numFmtId="165" fontId="8" fillId="0" borderId="98" xfId="1" applyNumberFormat="1" applyFont="1" applyFill="1" applyBorder="1" applyAlignment="1">
      <alignment horizontal="center"/>
    </xf>
    <xf numFmtId="164" fontId="8" fillId="0" borderId="93" xfId="2" applyNumberFormat="1" applyFont="1" applyFill="1" applyBorder="1"/>
    <xf numFmtId="0" fontId="8" fillId="0" borderId="99" xfId="4" applyFont="1" applyBorder="1" applyAlignment="1">
      <alignment horizontal="center"/>
    </xf>
    <xf numFmtId="0" fontId="8" fillId="0" borderId="93" xfId="4" applyFont="1" applyBorder="1" applyAlignment="1">
      <alignment horizontal="center"/>
    </xf>
    <xf numFmtId="44" fontId="8" fillId="0" borderId="99" xfId="2" applyFont="1" applyFill="1" applyBorder="1" applyAlignment="1">
      <alignment horizontal="center"/>
    </xf>
    <xf numFmtId="182" fontId="8" fillId="0" borderId="0" xfId="2" applyNumberFormat="1" applyFont="1" applyFill="1"/>
    <xf numFmtId="187" fontId="3" fillId="0" borderId="0" xfId="2" applyNumberFormat="1" applyFont="1" applyFill="1" applyAlignment="1"/>
    <xf numFmtId="164" fontId="8" fillId="0" borderId="0" xfId="2" applyNumberFormat="1" applyFont="1" applyFill="1" applyBorder="1" applyAlignment="1">
      <alignment horizontal="center" vertical="center"/>
    </xf>
    <xf numFmtId="168" fontId="8" fillId="0" borderId="60" xfId="1" applyNumberFormat="1" applyFont="1" applyFill="1" applyBorder="1" applyAlignment="1">
      <alignment horizontal="center" vertical="center"/>
    </xf>
    <xf numFmtId="184" fontId="8" fillId="0" borderId="60" xfId="1" applyNumberFormat="1" applyFont="1" applyFill="1" applyBorder="1" applyAlignment="1">
      <alignment vertical="center"/>
    </xf>
    <xf numFmtId="44" fontId="8" fillId="0" borderId="97" xfId="2" applyFont="1" applyFill="1" applyBorder="1" applyAlignment="1">
      <alignment horizontal="center" vertical="center"/>
    </xf>
    <xf numFmtId="8" fontId="8" fillId="0" borderId="81" xfId="2" applyNumberFormat="1" applyFont="1" applyFill="1" applyBorder="1"/>
    <xf numFmtId="3" fontId="8" fillId="0" borderId="60" xfId="1" applyNumberFormat="1" applyFont="1" applyFill="1" applyBorder="1" applyAlignment="1">
      <alignment vertical="center"/>
    </xf>
    <xf numFmtId="44" fontId="8" fillId="0" borderId="61" xfId="2" applyFont="1" applyFill="1" applyBorder="1" applyAlignment="1">
      <alignment vertical="center"/>
    </xf>
    <xf numFmtId="44" fontId="8" fillId="0" borderId="7" xfId="2" applyFont="1" applyFill="1" applyBorder="1" applyAlignment="1">
      <alignment horizontal="right"/>
    </xf>
    <xf numFmtId="39" fontId="8" fillId="0" borderId="86" xfId="2" applyNumberFormat="1" applyFont="1" applyFill="1" applyBorder="1" applyAlignment="1">
      <alignment horizontal="right"/>
    </xf>
    <xf numFmtId="39" fontId="8" fillId="0" borderId="86" xfId="2" applyNumberFormat="1" applyFont="1" applyFill="1" applyBorder="1"/>
    <xf numFmtId="184" fontId="8" fillId="0" borderId="60" xfId="1" applyNumberFormat="1" applyFont="1" applyFill="1" applyBorder="1" applyAlignment="1">
      <alignment horizontal="center" vertical="center"/>
    </xf>
    <xf numFmtId="184" fontId="8" fillId="0" borderId="62" xfId="1" applyNumberFormat="1" applyFont="1" applyFill="1" applyBorder="1" applyAlignment="1">
      <alignment horizontal="right" vertical="center"/>
    </xf>
    <xf numFmtId="44" fontId="8" fillId="0" borderId="81" xfId="2" applyFont="1" applyFill="1" applyBorder="1" applyAlignment="1">
      <alignment horizontal="right"/>
    </xf>
    <xf numFmtId="44" fontId="8" fillId="0" borderId="74" xfId="2" applyFont="1" applyFill="1" applyBorder="1" applyAlignment="1">
      <alignment horizontal="right"/>
    </xf>
    <xf numFmtId="168" fontId="0" fillId="0" borderId="0" xfId="1" applyNumberFormat="1" applyFont="1" applyFill="1"/>
    <xf numFmtId="165" fontId="8" fillId="0" borderId="86" xfId="1" applyNumberFormat="1" applyFont="1" applyFill="1" applyBorder="1" applyAlignment="1">
      <alignment horizontal="right"/>
    </xf>
    <xf numFmtId="164" fontId="8" fillId="0" borderId="86" xfId="1" applyNumberFormat="1" applyFont="1" applyFill="1" applyBorder="1" applyAlignment="1">
      <alignment horizontal="center"/>
    </xf>
    <xf numFmtId="164" fontId="8" fillId="0" borderId="86" xfId="2" applyNumberFormat="1" applyFont="1" applyFill="1" applyBorder="1" applyAlignment="1">
      <alignment horizontal="right" vertical="center" wrapText="1"/>
    </xf>
    <xf numFmtId="165" fontId="8" fillId="0" borderId="14" xfId="1" applyNumberFormat="1" applyFont="1" applyFill="1" applyBorder="1" applyAlignment="1">
      <alignment horizontal="center" vertical="center"/>
    </xf>
    <xf numFmtId="165" fontId="8" fillId="0" borderId="13" xfId="1" applyNumberFormat="1" applyFont="1" applyFill="1" applyBorder="1" applyAlignment="1">
      <alignment vertical="center"/>
    </xf>
    <xf numFmtId="44" fontId="8" fillId="0" borderId="7" xfId="2" applyFont="1" applyFill="1" applyBorder="1"/>
    <xf numFmtId="164" fontId="8" fillId="0" borderId="86" xfId="1" applyNumberFormat="1" applyFont="1" applyFill="1" applyBorder="1" applyAlignment="1">
      <alignment horizontal="center" vertical="center"/>
    </xf>
    <xf numFmtId="0" fontId="8" fillId="0" borderId="74" xfId="0" applyFont="1" applyBorder="1" applyAlignment="1">
      <alignment horizontal="center"/>
    </xf>
    <xf numFmtId="44" fontId="8" fillId="0" borderId="86" xfId="2" applyFont="1" applyFill="1" applyBorder="1" applyAlignment="1">
      <alignment horizontal="left"/>
    </xf>
    <xf numFmtId="174" fontId="8" fillId="0" borderId="7" xfId="2" applyNumberFormat="1" applyFont="1" applyFill="1" applyBorder="1" applyAlignment="1">
      <alignment horizontal="center"/>
    </xf>
    <xf numFmtId="5" fontId="8" fillId="0" borderId="7" xfId="2" applyNumberFormat="1" applyFont="1" applyFill="1" applyBorder="1" applyAlignment="1">
      <alignment horizontal="center"/>
    </xf>
    <xf numFmtId="8" fontId="8" fillId="0" borderId="86" xfId="2" applyNumberFormat="1" applyFont="1" applyFill="1" applyBorder="1" applyAlignment="1">
      <alignment horizontal="right" wrapText="1"/>
    </xf>
    <xf numFmtId="8" fontId="8" fillId="0" borderId="93" xfId="2" applyNumberFormat="1" applyFont="1" applyFill="1" applyBorder="1" applyAlignment="1">
      <alignment horizontal="center"/>
    </xf>
    <xf numFmtId="165" fontId="8" fillId="0" borderId="1" xfId="1" applyNumberFormat="1" applyFont="1" applyFill="1" applyBorder="1" applyAlignment="1">
      <alignment horizontal="center" vertical="center"/>
    </xf>
    <xf numFmtId="165" fontId="8" fillId="0" borderId="98" xfId="1" applyNumberFormat="1" applyFont="1" applyFill="1" applyBorder="1" applyAlignment="1">
      <alignment vertical="center"/>
    </xf>
    <xf numFmtId="187" fontId="3" fillId="0" borderId="101" xfId="2" applyNumberFormat="1" applyFont="1" applyFill="1" applyBorder="1"/>
    <xf numFmtId="44" fontId="8" fillId="0" borderId="7" xfId="2" applyFont="1" applyFill="1" applyBorder="1" applyAlignment="1">
      <alignment horizontal="center" vertical="center"/>
    </xf>
    <xf numFmtId="2" fontId="8" fillId="0" borderId="62" xfId="2" applyNumberFormat="1" applyFont="1" applyFill="1" applyBorder="1" applyAlignment="1">
      <alignment horizontal="center" vertical="center"/>
    </xf>
    <xf numFmtId="37" fontId="8" fillId="0" borderId="60" xfId="1" applyNumberFormat="1" applyFont="1" applyFill="1" applyBorder="1" applyAlignment="1">
      <alignment horizontal="center" vertical="center"/>
    </xf>
    <xf numFmtId="0" fontId="8" fillId="0" borderId="12" xfId="1" applyNumberFormat="1" applyFont="1" applyFill="1" applyBorder="1" applyAlignment="1">
      <alignment horizontal="center"/>
    </xf>
    <xf numFmtId="189" fontId="8" fillId="0" borderId="60" xfId="1" applyNumberFormat="1" applyFont="1" applyFill="1" applyBorder="1" applyAlignment="1">
      <alignment horizontal="center" vertical="center"/>
    </xf>
    <xf numFmtId="44" fontId="8" fillId="0" borderId="93" xfId="2" applyFont="1" applyFill="1" applyBorder="1" applyAlignment="1">
      <alignment horizontal="center" vertical="center"/>
    </xf>
    <xf numFmtId="172" fontId="8" fillId="0" borderId="17" xfId="0" applyNumberFormat="1" applyFont="1" applyBorder="1" applyAlignment="1">
      <alignment horizontal="center"/>
    </xf>
    <xf numFmtId="44" fontId="8" fillId="0" borderId="97" xfId="2" applyFont="1" applyFill="1" applyBorder="1" applyAlignment="1">
      <alignment horizontal="center"/>
    </xf>
    <xf numFmtId="165" fontId="8" fillId="0" borderId="93" xfId="1" applyNumberFormat="1" applyFont="1" applyFill="1" applyBorder="1" applyAlignment="1">
      <alignment horizontal="left"/>
    </xf>
    <xf numFmtId="6" fontId="8" fillId="0" borderId="86" xfId="2" applyNumberFormat="1" applyFont="1" applyFill="1" applyBorder="1" applyAlignment="1">
      <alignment horizontal="center"/>
    </xf>
    <xf numFmtId="44" fontId="8" fillId="0" borderId="93" xfId="2" applyFont="1" applyFill="1" applyBorder="1" applyAlignment="1">
      <alignment vertical="center"/>
    </xf>
    <xf numFmtId="44" fontId="8" fillId="0" borderId="98" xfId="2" applyFont="1" applyFill="1" applyBorder="1" applyAlignment="1">
      <alignment vertical="center"/>
    </xf>
    <xf numFmtId="165" fontId="8" fillId="0" borderId="93" xfId="1" applyNumberFormat="1" applyFont="1" applyFill="1" applyBorder="1" applyAlignment="1">
      <alignment vertical="center"/>
    </xf>
    <xf numFmtId="165" fontId="8" fillId="0" borderId="97" xfId="1" applyNumberFormat="1" applyFont="1" applyFill="1" applyBorder="1" applyAlignment="1"/>
    <xf numFmtId="0" fontId="8" fillId="0" borderId="61" xfId="0" applyFont="1" applyBorder="1" applyAlignment="1">
      <alignment horizontal="left"/>
    </xf>
    <xf numFmtId="0" fontId="8" fillId="0" borderId="60" xfId="0" applyFont="1" applyBorder="1" applyAlignment="1">
      <alignment horizontal="left"/>
    </xf>
    <xf numFmtId="0" fontId="8" fillId="0" borderId="62" xfId="0" applyFont="1" applyBorder="1" applyAlignment="1">
      <alignment horizontal="left"/>
    </xf>
    <xf numFmtId="0" fontId="8" fillId="0" borderId="89" xfId="0" applyFont="1" applyBorder="1" applyAlignment="1">
      <alignment horizontal="left"/>
    </xf>
    <xf numFmtId="0" fontId="8" fillId="0" borderId="86" xfId="0" applyFont="1" applyBorder="1" applyAlignment="1">
      <alignment horizontal="left" vertical="top" wrapText="1"/>
    </xf>
    <xf numFmtId="0" fontId="10" fillId="0" borderId="25" xfId="0" applyFont="1" applyBorder="1" applyAlignment="1">
      <alignment horizontal="center" vertical="center"/>
    </xf>
    <xf numFmtId="165" fontId="8" fillId="0" borderId="98" xfId="1" applyNumberFormat="1" applyFont="1" applyFill="1" applyBorder="1" applyAlignment="1">
      <alignment horizontal="center" vertical="center"/>
    </xf>
    <xf numFmtId="8" fontId="8" fillId="0" borderId="93" xfId="2" applyNumberFormat="1" applyFont="1" applyFill="1" applyBorder="1" applyAlignment="1">
      <alignment horizontal="right" vertical="center"/>
    </xf>
    <xf numFmtId="44" fontId="8" fillId="0" borderId="93" xfId="2" applyFont="1" applyFill="1" applyBorder="1" applyAlignment="1">
      <alignment horizontal="right" vertical="center"/>
    </xf>
    <xf numFmtId="164" fontId="12" fillId="0" borderId="93" xfId="2" applyNumberFormat="1" applyFont="1" applyFill="1" applyBorder="1" applyAlignment="1"/>
    <xf numFmtId="0" fontId="8" fillId="0" borderId="86" xfId="0" applyFont="1" applyBorder="1" applyAlignment="1">
      <alignment horizontal="left" vertical="center" wrapText="1"/>
    </xf>
    <xf numFmtId="0" fontId="8" fillId="0" borderId="0" xfId="0" applyFont="1" applyAlignment="1">
      <alignment vertic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8" fillId="0" borderId="61" xfId="0" applyFont="1" applyBorder="1" applyAlignment="1">
      <alignment horizontal="center" vertical="center" wrapText="1"/>
    </xf>
    <xf numFmtId="3" fontId="8" fillId="0" borderId="62" xfId="0" applyNumberFormat="1" applyFont="1" applyBorder="1" applyAlignment="1">
      <alignment vertical="center" wrapText="1"/>
    </xf>
    <xf numFmtId="0" fontId="8" fillId="0" borderId="61" xfId="0" applyFont="1" applyBorder="1" applyAlignment="1">
      <alignment horizontal="center" vertical="center"/>
    </xf>
    <xf numFmtId="0" fontId="8" fillId="0" borderId="62" xfId="0" applyFont="1" applyBorder="1" applyAlignment="1">
      <alignment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0" xfId="0" applyFont="1" applyAlignment="1">
      <alignment vertical="center"/>
    </xf>
    <xf numFmtId="0" fontId="10" fillId="0" borderId="83" xfId="0" applyFont="1" applyBorder="1" applyAlignment="1">
      <alignment horizontal="center" wrapText="1"/>
    </xf>
    <xf numFmtId="0" fontId="10" fillId="0" borderId="99" xfId="0" applyFont="1" applyBorder="1" applyAlignment="1">
      <alignment horizontal="center" wrapText="1"/>
    </xf>
    <xf numFmtId="0" fontId="10" fillId="0" borderId="61" xfId="0" applyFont="1" applyBorder="1" applyAlignment="1">
      <alignment horizontal="center"/>
    </xf>
    <xf numFmtId="0" fontId="10" fillId="0" borderId="62" xfId="0" applyFont="1" applyBorder="1" applyAlignment="1">
      <alignment horizontal="center"/>
    </xf>
    <xf numFmtId="0" fontId="8" fillId="0" borderId="86" xfId="0" applyFont="1" applyBorder="1" applyAlignment="1">
      <alignment horizontal="center" vertical="center"/>
    </xf>
    <xf numFmtId="44" fontId="8" fillId="0" borderId="86" xfId="0" applyNumberFormat="1" applyFont="1" applyBorder="1" applyAlignment="1">
      <alignment vertical="center"/>
    </xf>
    <xf numFmtId="43" fontId="8" fillId="0" borderId="86" xfId="0" applyNumberFormat="1" applyFont="1" applyBorder="1" applyAlignment="1">
      <alignment horizontal="center" vertical="center"/>
    </xf>
    <xf numFmtId="169" fontId="8" fillId="0" borderId="7" xfId="0" applyNumberFormat="1" applyFont="1" applyBorder="1" applyAlignment="1">
      <alignment vertical="center" wrapText="1"/>
    </xf>
    <xf numFmtId="166" fontId="8" fillId="0" borderId="61"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8" fillId="0" borderId="86" xfId="0" applyFont="1" applyBorder="1" applyAlignment="1">
      <alignment horizontal="center" vertical="center" wrapText="1"/>
    </xf>
    <xf numFmtId="8" fontId="8" fillId="0" borderId="86" xfId="0" applyNumberFormat="1" applyFont="1" applyBorder="1" applyAlignment="1">
      <alignment horizontal="right" vertical="center"/>
    </xf>
    <xf numFmtId="0" fontId="8" fillId="0" borderId="93" xfId="0" applyFont="1" applyBorder="1" applyAlignment="1">
      <alignment horizontal="center" vertical="center"/>
    </xf>
    <xf numFmtId="0" fontId="8" fillId="0" borderId="93" xfId="0" applyFont="1" applyBorder="1" applyAlignment="1">
      <alignment horizontal="left" vertical="center" wrapText="1"/>
    </xf>
    <xf numFmtId="44" fontId="8" fillId="0" borderId="93" xfId="0" applyNumberFormat="1" applyFont="1" applyBorder="1" applyAlignment="1">
      <alignment vertical="center"/>
    </xf>
    <xf numFmtId="0" fontId="8" fillId="0" borderId="97" xfId="0" applyFont="1" applyBorder="1"/>
    <xf numFmtId="0" fontId="8" fillId="0" borderId="14" xfId="0" applyFont="1" applyBorder="1" applyAlignment="1">
      <alignment horizontal="center" vertical="center"/>
    </xf>
    <xf numFmtId="0" fontId="8" fillId="0" borderId="14" xfId="0" applyFont="1" applyBorder="1" applyAlignment="1">
      <alignment horizontal="center"/>
    </xf>
    <xf numFmtId="0" fontId="8" fillId="0" borderId="88" xfId="0" applyFont="1" applyBorder="1" applyAlignment="1">
      <alignment horizontal="center" vertical="center"/>
    </xf>
    <xf numFmtId="183" fontId="8" fillId="0" borderId="87" xfId="0" applyNumberFormat="1" applyFont="1" applyBorder="1" applyAlignment="1">
      <alignment wrapText="1"/>
    </xf>
    <xf numFmtId="0" fontId="8" fillId="0" borderId="5" xfId="0" applyFont="1" applyBorder="1" applyAlignment="1">
      <alignment horizontal="center" vertical="center"/>
    </xf>
    <xf numFmtId="183" fontId="8" fillId="0" borderId="6" xfId="0" applyNumberFormat="1" applyFont="1" applyBorder="1" applyAlignment="1">
      <alignment wrapText="1"/>
    </xf>
    <xf numFmtId="3" fontId="8" fillId="0" borderId="93" xfId="0" applyNumberFormat="1" applyFont="1" applyBorder="1" applyAlignment="1">
      <alignment vertical="center" wrapText="1"/>
    </xf>
    <xf numFmtId="0" fontId="8" fillId="0" borderId="93" xfId="0" applyFont="1" applyBorder="1" applyAlignment="1">
      <alignment horizontal="center" vertical="center" wrapText="1"/>
    </xf>
    <xf numFmtId="0" fontId="8" fillId="0" borderId="7" xfId="0" applyFont="1" applyBorder="1"/>
    <xf numFmtId="0" fontId="8" fillId="0" borderId="7" xfId="0" applyFont="1" applyBorder="1" applyAlignment="1">
      <alignment horizontal="center"/>
    </xf>
    <xf numFmtId="8" fontId="8" fillId="0" borderId="93" xfId="0" applyNumberFormat="1" applyFont="1" applyBorder="1" applyAlignment="1">
      <alignment vertical="center"/>
    </xf>
    <xf numFmtId="166" fontId="8" fillId="0" borderId="97" xfId="0" applyNumberFormat="1" applyFont="1" applyBorder="1" applyAlignment="1">
      <alignment horizontal="center" vertical="center" wrapText="1"/>
    </xf>
    <xf numFmtId="8" fontId="8" fillId="0" borderId="93" xfId="0" applyNumberFormat="1" applyFont="1" applyBorder="1" applyAlignment="1">
      <alignment horizontal="right" vertical="center"/>
    </xf>
    <xf numFmtId="8" fontId="8" fillId="0" borderId="93" xfId="0" applyNumberFormat="1" applyFont="1" applyBorder="1" applyAlignment="1">
      <alignment horizontal="center" vertical="center" wrapText="1"/>
    </xf>
    <xf numFmtId="0" fontId="8" fillId="0" borderId="101" xfId="0" applyFont="1" applyBorder="1" applyAlignment="1">
      <alignment vertical="top" wrapText="1"/>
    </xf>
    <xf numFmtId="0" fontId="8" fillId="0" borderId="101" xfId="0" applyFont="1" applyBorder="1" applyAlignment="1">
      <alignment horizontal="center" vertical="center" wrapText="1"/>
    </xf>
    <xf numFmtId="8" fontId="8" fillId="0" borderId="101" xfId="0" applyNumberFormat="1" applyFont="1" applyBorder="1" applyAlignment="1">
      <alignment horizontal="right" vertical="center"/>
    </xf>
    <xf numFmtId="8" fontId="10" fillId="0" borderId="101" xfId="0" applyNumberFormat="1" applyFont="1" applyBorder="1" applyAlignment="1">
      <alignment horizontal="center" vertical="center" wrapText="1"/>
    </xf>
    <xf numFmtId="0" fontId="8" fillId="0" borderId="82" xfId="0" applyFont="1" applyBorder="1" applyAlignment="1">
      <alignment horizontal="center" vertical="center" wrapText="1"/>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170" fontId="8" fillId="0" borderId="13" xfId="0" applyNumberFormat="1" applyFont="1" applyBorder="1" applyAlignment="1">
      <alignment horizontal="right" vertical="center"/>
    </xf>
    <xf numFmtId="0" fontId="8" fillId="0" borderId="74" xfId="0" applyFont="1" applyBorder="1" applyAlignment="1">
      <alignment vertical="top" wrapText="1"/>
    </xf>
    <xf numFmtId="169" fontId="8" fillId="0" borderId="7" xfId="0" applyNumberFormat="1" applyFont="1" applyBorder="1" applyAlignment="1">
      <alignment horizontal="center" vertical="center" wrapText="1"/>
    </xf>
    <xf numFmtId="0" fontId="8" fillId="0" borderId="82" xfId="0" applyFont="1" applyBorder="1" applyAlignment="1">
      <alignment horizontal="left" vertical="top" wrapText="1"/>
    </xf>
    <xf numFmtId="0" fontId="10" fillId="0" borderId="13" xfId="0" applyFont="1" applyBorder="1" applyAlignment="1">
      <alignment horizontal="center" vertical="center"/>
    </xf>
    <xf numFmtId="1" fontId="8" fillId="0" borderId="7" xfId="0" applyNumberFormat="1" applyFont="1" applyBorder="1"/>
    <xf numFmtId="0" fontId="8" fillId="0" borderId="7" xfId="0" applyFont="1" applyBorder="1" applyAlignment="1">
      <alignment horizontal="center" wrapText="1"/>
    </xf>
    <xf numFmtId="0" fontId="10"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wrapText="1"/>
    </xf>
    <xf numFmtId="0" fontId="10" fillId="0" borderId="93" xfId="0" applyFont="1" applyBorder="1" applyAlignment="1">
      <alignment horizontal="center" wrapText="1"/>
    </xf>
    <xf numFmtId="0" fontId="10" fillId="0" borderId="93" xfId="0" applyFont="1" applyBorder="1" applyAlignment="1">
      <alignment horizontal="left" wrapText="1"/>
    </xf>
    <xf numFmtId="0" fontId="10" fillId="0" borderId="93" xfId="0" applyFont="1" applyBorder="1" applyAlignment="1">
      <alignment horizontal="center"/>
    </xf>
    <xf numFmtId="8" fontId="8" fillId="0" borderId="101" xfId="0" applyNumberFormat="1" applyFont="1" applyBorder="1" applyAlignment="1">
      <alignment wrapText="1"/>
    </xf>
    <xf numFmtId="0" fontId="8" fillId="0" borderId="101" xfId="0" applyFont="1" applyBorder="1" applyAlignment="1">
      <alignment horizontal="center" wrapText="1"/>
    </xf>
    <xf numFmtId="166" fontId="8" fillId="0" borderId="101" xfId="0" applyNumberFormat="1" applyFont="1" applyBorder="1" applyAlignment="1">
      <alignment horizontal="center" wrapText="1"/>
    </xf>
    <xf numFmtId="164" fontId="8" fillId="0" borderId="101" xfId="0" applyNumberFormat="1" applyFont="1" applyBorder="1" applyAlignment="1">
      <alignment horizontal="right" wrapText="1"/>
    </xf>
    <xf numFmtId="0" fontId="10" fillId="0" borderId="61" xfId="0" applyFont="1" applyBorder="1" applyAlignment="1">
      <alignment vertical="center"/>
    </xf>
    <xf numFmtId="0" fontId="10" fillId="0" borderId="62" xfId="0" applyFont="1" applyBorder="1" applyAlignment="1">
      <alignment vertical="center"/>
    </xf>
    <xf numFmtId="0" fontId="10"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vertical="center"/>
    </xf>
    <xf numFmtId="0" fontId="8" fillId="0" borderId="1" xfId="0" applyFont="1" applyBorder="1" applyAlignment="1">
      <alignment horizontal="center" vertical="center" wrapText="1"/>
    </xf>
    <xf numFmtId="0" fontId="10" fillId="0" borderId="12" xfId="0" applyFont="1" applyBorder="1" applyAlignment="1">
      <alignment horizontal="center"/>
    </xf>
    <xf numFmtId="0" fontId="10" fillId="0" borderId="13" xfId="0" applyFont="1" applyBorder="1" applyAlignment="1">
      <alignment horizontal="center"/>
    </xf>
    <xf numFmtId="0" fontId="8" fillId="0" borderId="64" xfId="0" applyFont="1" applyBorder="1" applyAlignment="1">
      <alignment horizontal="center" vertical="center" wrapText="1"/>
    </xf>
    <xf numFmtId="8" fontId="8" fillId="0" borderId="64" xfId="0" applyNumberFormat="1" applyFont="1" applyBorder="1" applyAlignment="1">
      <alignment wrapText="1"/>
    </xf>
    <xf numFmtId="0" fontId="8" fillId="0" borderId="64" xfId="0" applyFont="1" applyBorder="1" applyAlignment="1">
      <alignment horizontal="center" wrapText="1"/>
    </xf>
    <xf numFmtId="166" fontId="8" fillId="0" borderId="83" xfId="0" applyNumberFormat="1" applyFont="1" applyBorder="1" applyAlignment="1">
      <alignment horizontal="center" wrapText="1"/>
    </xf>
    <xf numFmtId="164" fontId="8" fillId="0" borderId="64" xfId="0" applyNumberFormat="1" applyFont="1" applyBorder="1" applyAlignment="1">
      <alignment horizontal="right" wrapText="1"/>
    </xf>
    <xf numFmtId="0" fontId="8" fillId="0" borderId="0" xfId="0" applyFont="1" applyAlignment="1">
      <alignment horizontal="center" vertical="center"/>
    </xf>
    <xf numFmtId="8" fontId="8" fillId="0" borderId="86" xfId="0" applyNumberFormat="1" applyFont="1" applyBorder="1" applyAlignment="1">
      <alignment vertical="center"/>
    </xf>
    <xf numFmtId="0" fontId="8" fillId="0" borderId="12" xfId="0" applyFont="1" applyBorder="1" applyAlignment="1">
      <alignment horizontal="center" vertical="center" wrapText="1"/>
    </xf>
    <xf numFmtId="8" fontId="8" fillId="0" borderId="86" xfId="0" applyNumberFormat="1" applyFont="1" applyBorder="1" applyAlignment="1">
      <alignment wrapText="1"/>
    </xf>
    <xf numFmtId="166" fontId="8" fillId="0" borderId="61" xfId="0" applyNumberFormat="1" applyFont="1" applyBorder="1" applyAlignment="1">
      <alignment horizontal="center" wrapText="1"/>
    </xf>
    <xf numFmtId="164" fontId="8" fillId="0" borderId="86" xfId="0" applyNumberFormat="1" applyFont="1" applyBorder="1" applyAlignment="1">
      <alignment horizontal="right" wrapText="1"/>
    </xf>
    <xf numFmtId="0" fontId="8" fillId="0" borderId="0" xfId="0" applyFont="1" applyAlignment="1">
      <alignment horizontal="center" vertical="center" wrapText="1"/>
    </xf>
    <xf numFmtId="166" fontId="10" fillId="0" borderId="101" xfId="0" applyNumberFormat="1" applyFont="1" applyBorder="1" applyAlignment="1">
      <alignment horizontal="center"/>
    </xf>
    <xf numFmtId="0" fontId="72" fillId="0" borderId="64" xfId="0" applyFont="1" applyBorder="1" applyAlignment="1">
      <alignment horizontal="center" vertical="center"/>
    </xf>
    <xf numFmtId="0" fontId="72" fillId="0" borderId="64" xfId="0" applyFont="1" applyBorder="1" applyAlignment="1">
      <alignment horizontal="center" vertical="center" wrapText="1"/>
    </xf>
    <xf numFmtId="0" fontId="72" fillId="0" borderId="82"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17" xfId="0" applyFont="1" applyBorder="1" applyAlignment="1">
      <alignment horizontal="center" vertical="center" wrapText="1"/>
    </xf>
    <xf numFmtId="0" fontId="67" fillId="0" borderId="81" xfId="0" applyFont="1" applyBorder="1" applyAlignment="1">
      <alignment horizontal="center" vertical="center" wrapText="1"/>
    </xf>
    <xf numFmtId="0" fontId="72" fillId="0" borderId="82" xfId="0" applyFont="1" applyBorder="1"/>
    <xf numFmtId="0" fontId="73" fillId="0" borderId="66" xfId="0" applyFont="1" applyBorder="1" applyAlignment="1">
      <alignment horizontal="center" vertical="center"/>
    </xf>
    <xf numFmtId="2" fontId="73" fillId="0" borderId="66" xfId="0" applyNumberFormat="1" applyFont="1" applyBorder="1" applyAlignment="1">
      <alignment horizontal="right" vertical="center" wrapText="1"/>
    </xf>
    <xf numFmtId="8" fontId="73" fillId="0" borderId="66" xfId="0" applyNumberFormat="1" applyFont="1" applyBorder="1" applyAlignment="1">
      <alignment horizontal="center" vertical="center" wrapText="1"/>
    </xf>
    <xf numFmtId="8" fontId="73" fillId="0" borderId="66" xfId="0" applyNumberFormat="1" applyFont="1" applyBorder="1" applyAlignment="1">
      <alignment horizontal="center" vertical="center"/>
    </xf>
    <xf numFmtId="0" fontId="72" fillId="0" borderId="66" xfId="0" applyFont="1" applyBorder="1" applyAlignment="1">
      <alignment horizontal="center" vertical="center" wrapText="1"/>
    </xf>
    <xf numFmtId="8" fontId="12" fillId="0" borderId="66" xfId="0" applyNumberFormat="1" applyFont="1" applyBorder="1" applyAlignment="1">
      <alignment horizontal="center" vertical="center" wrapText="1"/>
    </xf>
    <xf numFmtId="8" fontId="12" fillId="0" borderId="66" xfId="0" applyNumberFormat="1" applyFont="1" applyBorder="1" applyAlignment="1">
      <alignment horizontal="center" vertical="center"/>
    </xf>
    <xf numFmtId="8" fontId="8" fillId="0" borderId="7" xfId="0" applyNumberFormat="1" applyFont="1" applyBorder="1" applyAlignment="1">
      <alignment wrapText="1"/>
    </xf>
    <xf numFmtId="166" fontId="10" fillId="0" borderId="12" xfId="0" applyNumberFormat="1" applyFont="1" applyBorder="1" applyAlignment="1">
      <alignment horizontal="center" wrapText="1"/>
    </xf>
    <xf numFmtId="164" fontId="8" fillId="0" borderId="7" xfId="0" applyNumberFormat="1" applyFont="1" applyBorder="1" applyAlignment="1">
      <alignment horizontal="right" wrapText="1"/>
    </xf>
    <xf numFmtId="8" fontId="8" fillId="0" borderId="0" xfId="0" applyNumberFormat="1" applyFont="1"/>
    <xf numFmtId="0" fontId="10" fillId="0" borderId="64" xfId="0" applyFont="1" applyBorder="1" applyAlignment="1">
      <alignment horizontal="center" wrapText="1"/>
    </xf>
    <xf numFmtId="0" fontId="10" fillId="0" borderId="64" xfId="0" applyFont="1" applyBorder="1" applyAlignment="1">
      <alignment horizontal="center"/>
    </xf>
    <xf numFmtId="0" fontId="10" fillId="0" borderId="86" xfId="0" applyFont="1" applyBorder="1" applyAlignment="1">
      <alignment horizontal="center"/>
    </xf>
    <xf numFmtId="49" fontId="12" fillId="0" borderId="0" xfId="0" applyNumberFormat="1" applyFont="1" applyAlignment="1">
      <alignment horizontal="center" vertical="center"/>
    </xf>
    <xf numFmtId="3" fontId="12" fillId="0" borderId="0" xfId="0" applyNumberFormat="1" applyFont="1" applyAlignment="1">
      <alignment horizontal="right" vertical="center"/>
    </xf>
    <xf numFmtId="8" fontId="8" fillId="0" borderId="86" xfId="0" applyNumberFormat="1" applyFont="1" applyBorder="1" applyAlignment="1">
      <alignment vertical="center" wrapText="1"/>
    </xf>
    <xf numFmtId="3" fontId="8" fillId="0" borderId="86" xfId="0" applyNumberFormat="1" applyFont="1" applyBorder="1" applyAlignment="1">
      <alignment vertical="center" wrapText="1"/>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8" fillId="0" borderId="81" xfId="0" applyFont="1" applyBorder="1" applyAlignment="1">
      <alignment horizontal="left" wrapText="1"/>
    </xf>
    <xf numFmtId="4" fontId="8" fillId="0" borderId="86" xfId="0" applyNumberFormat="1" applyFont="1" applyBorder="1" applyAlignment="1">
      <alignment vertical="center" wrapText="1"/>
    </xf>
    <xf numFmtId="0" fontId="8" fillId="0" borderId="86" xfId="0" applyFont="1" applyBorder="1"/>
    <xf numFmtId="0" fontId="8" fillId="0" borderId="61" xfId="0" applyFont="1" applyBorder="1" applyAlignment="1">
      <alignment vertical="center"/>
    </xf>
    <xf numFmtId="182" fontId="8" fillId="0" borderId="86" xfId="0" applyNumberFormat="1" applyFont="1" applyBorder="1" applyAlignment="1">
      <alignment horizontal="right" vertical="center"/>
    </xf>
    <xf numFmtId="164" fontId="8"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8" fillId="0" borderId="101" xfId="0" applyFont="1" applyBorder="1"/>
    <xf numFmtId="0" fontId="10" fillId="0" borderId="74" xfId="0" applyFont="1" applyBorder="1" applyAlignment="1">
      <alignment horizontal="center" vertical="center"/>
    </xf>
    <xf numFmtId="182" fontId="8" fillId="0" borderId="101" xfId="0" applyNumberFormat="1" applyFont="1" applyBorder="1" applyAlignment="1">
      <alignment horizontal="right" vertical="center"/>
    </xf>
    <xf numFmtId="0" fontId="8" fillId="0" borderId="97" xfId="0" applyFont="1" applyBorder="1" applyAlignment="1">
      <alignment horizontal="center" vertical="center" wrapText="1"/>
    </xf>
    <xf numFmtId="0" fontId="8" fillId="0" borderId="93" xfId="0" applyFont="1" applyBorder="1" applyAlignment="1">
      <alignment vertical="center"/>
    </xf>
    <xf numFmtId="0" fontId="8" fillId="0" borderId="98" xfId="0" applyFont="1" applyBorder="1" applyAlignment="1">
      <alignment vertical="center"/>
    </xf>
    <xf numFmtId="0" fontId="8" fillId="0" borderId="93" xfId="0" applyFont="1" applyBorder="1" applyAlignment="1">
      <alignment horizontal="right" vertical="center"/>
    </xf>
    <xf numFmtId="0" fontId="8" fillId="0" borderId="74" xfId="0" applyFont="1" applyBorder="1"/>
    <xf numFmtId="0" fontId="10" fillId="0" borderId="101" xfId="0" applyFont="1" applyBorder="1" applyAlignment="1">
      <alignment horizontal="center" vertical="center"/>
    </xf>
    <xf numFmtId="182" fontId="8" fillId="0" borderId="101" xfId="0" applyNumberFormat="1" applyFont="1" applyBorder="1" applyAlignment="1">
      <alignment vertical="center"/>
    </xf>
    <xf numFmtId="0" fontId="8" fillId="0" borderId="60" xfId="0" applyFont="1" applyBorder="1" applyAlignment="1">
      <alignment vertical="center" wrapText="1"/>
    </xf>
    <xf numFmtId="164" fontId="8" fillId="0" borderId="7" xfId="0" applyNumberFormat="1" applyFont="1" applyBorder="1" applyAlignment="1">
      <alignment horizontal="center" vertical="center" wrapText="1"/>
    </xf>
    <xf numFmtId="0" fontId="73" fillId="0" borderId="66" xfId="0" applyFont="1" applyBorder="1" applyAlignment="1">
      <alignment horizontal="center" vertical="center" wrapText="1"/>
    </xf>
    <xf numFmtId="166" fontId="10" fillId="0" borderId="12" xfId="0" applyNumberFormat="1" applyFont="1" applyBorder="1" applyAlignment="1">
      <alignment horizontal="center" vertical="center" wrapText="1"/>
    </xf>
    <xf numFmtId="164" fontId="8" fillId="0" borderId="7" xfId="0" applyNumberFormat="1" applyFont="1" applyBorder="1" applyAlignment="1">
      <alignment horizontal="right" vertical="center" wrapText="1"/>
    </xf>
    <xf numFmtId="0" fontId="8" fillId="0" borderId="62" xfId="0" applyFont="1" applyBorder="1" applyAlignment="1">
      <alignment horizontal="center" vertical="center"/>
    </xf>
    <xf numFmtId="8" fontId="73" fillId="0" borderId="0" xfId="0" applyNumberFormat="1" applyFont="1" applyAlignment="1">
      <alignment horizontal="center" vertical="center" wrapText="1"/>
    </xf>
    <xf numFmtId="0" fontId="8" fillId="0" borderId="0" xfId="0" applyFont="1" applyAlignment="1">
      <alignment horizontal="left" vertical="center" wrapText="1"/>
    </xf>
    <xf numFmtId="0" fontId="72" fillId="0" borderId="66" xfId="0" applyFont="1" applyBorder="1" applyAlignment="1">
      <alignment horizontal="center" vertical="center"/>
    </xf>
    <xf numFmtId="0" fontId="8" fillId="0" borderId="61" xfId="0" applyFont="1" applyBorder="1" applyAlignment="1">
      <alignment vertical="center" wrapText="1"/>
    </xf>
    <xf numFmtId="0" fontId="10" fillId="0" borderId="61" xfId="0" applyFont="1" applyBorder="1" applyAlignment="1">
      <alignment horizontal="center" vertical="center" wrapText="1"/>
    </xf>
    <xf numFmtId="165" fontId="8" fillId="0" borderId="86" xfId="0" applyNumberFormat="1" applyFont="1" applyBorder="1" applyAlignment="1">
      <alignment vertical="center"/>
    </xf>
    <xf numFmtId="169" fontId="8" fillId="0" borderId="86" xfId="0" applyNumberFormat="1" applyFont="1" applyBorder="1" applyAlignment="1">
      <alignment horizontal="center" vertical="center"/>
    </xf>
    <xf numFmtId="169" fontId="8" fillId="0" borderId="7" xfId="0" applyNumberFormat="1" applyFont="1" applyBorder="1" applyAlignment="1">
      <alignment vertical="center"/>
    </xf>
    <xf numFmtId="0" fontId="8" fillId="0" borderId="86" xfId="0" applyFont="1" applyBorder="1" applyAlignment="1">
      <alignment horizontal="left" wrapText="1"/>
    </xf>
    <xf numFmtId="165" fontId="8" fillId="0" borderId="61" xfId="0" applyNumberFormat="1" applyFont="1" applyBorder="1" applyAlignment="1">
      <alignment horizontal="center"/>
    </xf>
    <xf numFmtId="165" fontId="8" fillId="0" borderId="60" xfId="0" applyNumberFormat="1" applyFont="1" applyBorder="1" applyAlignment="1">
      <alignment horizontal="center"/>
    </xf>
    <xf numFmtId="165" fontId="8" fillId="0" borderId="62" xfId="0" applyNumberFormat="1" applyFont="1" applyBorder="1" applyAlignment="1">
      <alignment horizontal="center"/>
    </xf>
    <xf numFmtId="0" fontId="10" fillId="0" borderId="86" xfId="0" applyFont="1" applyBorder="1" applyAlignment="1">
      <alignment horizontal="right"/>
    </xf>
    <xf numFmtId="0" fontId="8" fillId="0" borderId="0" xfId="0" applyFont="1" applyAlignment="1">
      <alignment vertical="top" wrapText="1"/>
    </xf>
    <xf numFmtId="0" fontId="10" fillId="0" borderId="61" xfId="0" applyFont="1" applyBorder="1" applyAlignment="1">
      <alignment horizontal="left" wrapText="1"/>
    </xf>
    <xf numFmtId="0" fontId="10" fillId="0" borderId="60" xfId="0" applyFont="1" applyBorder="1" applyAlignment="1">
      <alignment horizontal="left" wrapText="1"/>
    </xf>
    <xf numFmtId="0" fontId="10" fillId="0" borderId="62" xfId="0" applyFont="1" applyBorder="1" applyAlignment="1">
      <alignment horizontal="left" wrapText="1"/>
    </xf>
    <xf numFmtId="0" fontId="8" fillId="0" borderId="61" xfId="0" applyFont="1" applyBorder="1" applyAlignment="1">
      <alignment horizontal="left"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2" fontId="8" fillId="0" borderId="61" xfId="0" applyNumberFormat="1" applyFont="1" applyBorder="1" applyAlignment="1">
      <alignment horizontal="center" vertical="center" wrapText="1"/>
    </xf>
    <xf numFmtId="2" fontId="8" fillId="0" borderId="62" xfId="0" applyNumberFormat="1" applyFont="1" applyBorder="1" applyAlignment="1">
      <alignment horizontal="center" vertical="center" wrapText="1"/>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8" fillId="0" borderId="86" xfId="0" applyFont="1" applyBorder="1" applyAlignment="1">
      <alignment horizontal="right" wrapText="1"/>
    </xf>
    <xf numFmtId="0" fontId="8" fillId="0" borderId="86" xfId="0" applyFont="1" applyBorder="1" applyAlignment="1">
      <alignment horizontal="right"/>
    </xf>
    <xf numFmtId="0" fontId="8" fillId="0" borderId="61" xfId="0" applyFont="1" applyBorder="1" applyAlignment="1">
      <alignment horizontal="left" wrapText="1"/>
    </xf>
    <xf numFmtId="0" fontId="8" fillId="0" borderId="60" xfId="0" applyFont="1" applyBorder="1" applyAlignment="1">
      <alignment horizontal="left" wrapText="1"/>
    </xf>
    <xf numFmtId="0" fontId="8" fillId="0" borderId="62" xfId="0" applyFont="1" applyBorder="1" applyAlignment="1">
      <alignment horizontal="left" wrapText="1"/>
    </xf>
    <xf numFmtId="165" fontId="8" fillId="0" borderId="61" xfId="0" applyNumberFormat="1" applyFont="1" applyBorder="1" applyAlignment="1">
      <alignment wrapText="1"/>
    </xf>
    <xf numFmtId="165" fontId="8" fillId="0" borderId="60" xfId="0" applyNumberFormat="1" applyFont="1" applyBorder="1" applyAlignment="1">
      <alignment wrapText="1"/>
    </xf>
    <xf numFmtId="165" fontId="8" fillId="0" borderId="62" xfId="0" applyNumberFormat="1" applyFont="1" applyBorder="1" applyAlignment="1">
      <alignment wrapText="1"/>
    </xf>
    <xf numFmtId="0" fontId="8" fillId="0" borderId="86" xfId="0" applyFont="1" applyBorder="1" applyAlignment="1">
      <alignment wrapText="1"/>
    </xf>
    <xf numFmtId="165" fontId="8" fillId="0" borderId="81" xfId="0" applyNumberFormat="1" applyFont="1" applyBorder="1"/>
    <xf numFmtId="166" fontId="8" fillId="0" borderId="86" xfId="0" applyNumberFormat="1" applyFont="1" applyBorder="1"/>
    <xf numFmtId="0" fontId="8" fillId="0" borderId="82" xfId="0" applyFont="1" applyBorder="1" applyAlignment="1">
      <alignment horizontal="center"/>
    </xf>
    <xf numFmtId="0" fontId="8" fillId="0" borderId="60" xfId="0" applyFont="1" applyBorder="1" applyAlignment="1">
      <alignment vertical="center"/>
    </xf>
    <xf numFmtId="0" fontId="10" fillId="0" borderId="61" xfId="0" applyFont="1" applyBorder="1" applyAlignment="1">
      <alignment horizontal="left"/>
    </xf>
    <xf numFmtId="0" fontId="10" fillId="0" borderId="60" xfId="0" applyFont="1" applyBorder="1" applyAlignment="1">
      <alignment horizontal="left"/>
    </xf>
    <xf numFmtId="0" fontId="10" fillId="0" borderId="62" xfId="0" applyFont="1" applyBorder="1" applyAlignment="1">
      <alignment horizontal="left"/>
    </xf>
    <xf numFmtId="0" fontId="10" fillId="0" borderId="7" xfId="0" applyFont="1" applyBorder="1" applyAlignment="1">
      <alignment horizontal="center"/>
    </xf>
    <xf numFmtId="0" fontId="8" fillId="0" borderId="86" xfId="0" applyFont="1" applyBorder="1" applyAlignment="1">
      <alignment horizontal="left"/>
    </xf>
    <xf numFmtId="165" fontId="8" fillId="0" borderId="97" xfId="0" applyNumberFormat="1" applyFont="1" applyBorder="1" applyAlignment="1">
      <alignment horizontal="right"/>
    </xf>
    <xf numFmtId="0" fontId="8" fillId="0" borderId="101" xfId="0" applyFont="1" applyBorder="1" applyAlignment="1">
      <alignment horizontal="center"/>
    </xf>
    <xf numFmtId="166" fontId="8" fillId="0" borderId="101" xfId="0" applyNumberFormat="1" applyFont="1" applyBorder="1"/>
    <xf numFmtId="0" fontId="10" fillId="0" borderId="86" xfId="0" applyFont="1" applyBorder="1" applyAlignment="1">
      <alignment horizontal="center" vertical="center"/>
    </xf>
    <xf numFmtId="44" fontId="8" fillId="0" borderId="0" xfId="0" applyNumberFormat="1" applyFont="1" applyAlignment="1">
      <alignment vertical="center"/>
    </xf>
    <xf numFmtId="44" fontId="8" fillId="0" borderId="86" xfId="0" applyNumberFormat="1" applyFont="1" applyBorder="1" applyAlignment="1">
      <alignment horizontal="left" vertical="center"/>
    </xf>
    <xf numFmtId="3" fontId="8" fillId="0" borderId="86" xfId="0" applyNumberFormat="1" applyFont="1" applyBorder="1" applyAlignment="1">
      <alignment horizontal="center" vertical="center"/>
    </xf>
    <xf numFmtId="0" fontId="8" fillId="0" borderId="97"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44" fontId="8" fillId="0" borderId="93" xfId="0" applyNumberFormat="1" applyFont="1" applyBorder="1" applyAlignment="1">
      <alignment horizontal="left" vertical="center"/>
    </xf>
    <xf numFmtId="0" fontId="8" fillId="0" borderId="86" xfId="0" applyFont="1" applyBorder="1" applyAlignment="1">
      <alignment horizontal="left" vertical="center"/>
    </xf>
    <xf numFmtId="3" fontId="8" fillId="0" borderId="86" xfId="0" applyNumberFormat="1" applyFont="1" applyBorder="1" applyAlignment="1">
      <alignment horizontal="left" vertical="center"/>
    </xf>
    <xf numFmtId="2" fontId="8" fillId="0" borderId="86" xfId="0" applyNumberFormat="1" applyFont="1" applyBorder="1" applyAlignment="1">
      <alignment horizontal="lef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93" xfId="0" applyFont="1" applyBorder="1" applyAlignment="1">
      <alignment horizontal="left" vertical="center"/>
    </xf>
    <xf numFmtId="3" fontId="8" fillId="0" borderId="93" xfId="0" applyNumberFormat="1" applyFont="1" applyBorder="1" applyAlignment="1">
      <alignment horizontal="left" vertical="center"/>
    </xf>
    <xf numFmtId="2" fontId="8" fillId="0" borderId="93" xfId="0" applyNumberFormat="1" applyFont="1" applyBorder="1" applyAlignment="1">
      <alignment horizontal="left" vertical="center"/>
    </xf>
    <xf numFmtId="2" fontId="8" fillId="0" borderId="93" xfId="0" applyNumberFormat="1" applyFont="1" applyBorder="1" applyAlignment="1">
      <alignment horizontal="center" vertical="center"/>
    </xf>
    <xf numFmtId="2" fontId="10" fillId="0" borderId="86" xfId="0" applyNumberFormat="1" applyFont="1" applyBorder="1" applyAlignment="1">
      <alignment horizontal="center" vertical="center"/>
    </xf>
    <xf numFmtId="0" fontId="10" fillId="0" borderId="97" xfId="0" applyFont="1" applyBorder="1" applyAlignment="1">
      <alignment horizontal="center" vertical="center"/>
    </xf>
    <xf numFmtId="0" fontId="10" fillId="0" borderId="99" xfId="0" applyFont="1" applyBorder="1" applyAlignment="1">
      <alignment horizontal="center" vertical="center"/>
    </xf>
    <xf numFmtId="3" fontId="8" fillId="0" borderId="99" xfId="0" applyNumberFormat="1" applyFont="1" applyBorder="1" applyAlignment="1">
      <alignment horizontal="center" vertical="center" wrapText="1"/>
    </xf>
    <xf numFmtId="0" fontId="8" fillId="0" borderId="98" xfId="0" applyFont="1" applyBorder="1" applyAlignment="1">
      <alignment horizontal="center" vertical="center" wrapText="1"/>
    </xf>
    <xf numFmtId="44" fontId="0" fillId="0" borderId="0" xfId="0" applyNumberFormat="1"/>
    <xf numFmtId="0" fontId="8" fillId="0" borderId="93" xfId="0" applyFont="1" applyBorder="1" applyAlignment="1">
      <alignment horizontal="center" wrapText="1"/>
    </xf>
    <xf numFmtId="2" fontId="8" fillId="0" borderId="93" xfId="0" applyNumberFormat="1" applyFont="1" applyBorder="1" applyAlignment="1">
      <alignment horizontal="center" wrapText="1"/>
    </xf>
    <xf numFmtId="166" fontId="8" fillId="0" borderId="93" xfId="0" applyNumberFormat="1" applyFont="1" applyBorder="1" applyAlignment="1">
      <alignment horizontal="center"/>
    </xf>
    <xf numFmtId="164" fontId="8" fillId="0" borderId="93" xfId="0" applyNumberFormat="1" applyFont="1" applyBorder="1" applyAlignment="1">
      <alignment horizontal="right" wrapText="1"/>
    </xf>
    <xf numFmtId="8" fontId="8" fillId="0" borderId="93" xfId="0" applyNumberFormat="1" applyFont="1" applyBorder="1" applyAlignment="1">
      <alignment wrapText="1"/>
    </xf>
    <xf numFmtId="166" fontId="8" fillId="0" borderId="93" xfId="0" applyNumberFormat="1" applyFont="1" applyBorder="1" applyAlignment="1">
      <alignment horizontal="center" wrapText="1"/>
    </xf>
    <xf numFmtId="166" fontId="8" fillId="0" borderId="93" xfId="0" applyNumberFormat="1" applyFont="1" applyBorder="1" applyAlignment="1">
      <alignment horizontal="right"/>
    </xf>
    <xf numFmtId="0" fontId="10" fillId="0" borderId="93" xfId="0" applyFont="1" applyBorder="1" applyAlignment="1">
      <alignment horizontal="center" vertical="center"/>
    </xf>
    <xf numFmtId="0" fontId="10" fillId="0" borderId="97" xfId="0" applyFont="1" applyBorder="1" applyAlignment="1">
      <alignment horizontal="center"/>
    </xf>
    <xf numFmtId="0" fontId="10" fillId="0" borderId="99" xfId="0" applyFont="1" applyBorder="1" applyAlignment="1">
      <alignment horizontal="center"/>
    </xf>
    <xf numFmtId="0" fontId="8" fillId="0" borderId="101" xfId="0" applyFont="1" applyBorder="1" applyAlignment="1">
      <alignment horizontal="center" vertical="center"/>
    </xf>
    <xf numFmtId="2" fontId="8" fillId="0" borderId="101" xfId="0" applyNumberFormat="1" applyFont="1" applyBorder="1" applyAlignment="1">
      <alignment horizontal="left" vertical="center"/>
    </xf>
    <xf numFmtId="2" fontId="10" fillId="0" borderId="101" xfId="0" applyNumberFormat="1" applyFont="1" applyBorder="1" applyAlignment="1">
      <alignment horizontal="center" vertical="center"/>
    </xf>
    <xf numFmtId="44" fontId="8" fillId="0" borderId="101" xfId="0" applyNumberFormat="1" applyFont="1" applyBorder="1" applyAlignment="1">
      <alignment horizontal="left" vertical="center"/>
    </xf>
    <xf numFmtId="0" fontId="10" fillId="0" borderId="97" xfId="0" applyFont="1" applyBorder="1" applyAlignment="1">
      <alignment horizontal="left"/>
    </xf>
    <xf numFmtId="0" fontId="10" fillId="0" borderId="98" xfId="0" applyFont="1" applyBorder="1" applyAlignment="1">
      <alignment horizontal="left"/>
    </xf>
    <xf numFmtId="0" fontId="10" fillId="0" borderId="99" xfId="0" applyFont="1" applyBorder="1" applyAlignment="1">
      <alignment horizontal="left"/>
    </xf>
    <xf numFmtId="0" fontId="10" fillId="0" borderId="83" xfId="0" applyFont="1" applyBorder="1" applyAlignment="1">
      <alignment horizontal="center" vertical="center"/>
    </xf>
    <xf numFmtId="0" fontId="10"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vertical="center"/>
    </xf>
    <xf numFmtId="0" fontId="8" fillId="0" borderId="81" xfId="0" applyFont="1" applyBorder="1" applyAlignment="1">
      <alignment horizontal="center" vertical="center" wrapText="1"/>
    </xf>
    <xf numFmtId="188" fontId="8" fillId="0" borderId="86" xfId="0" applyNumberFormat="1" applyFont="1" applyBorder="1" applyAlignment="1">
      <alignment horizontal="center" vertical="center"/>
    </xf>
    <xf numFmtId="0" fontId="10" fillId="0" borderId="67" xfId="0" applyFont="1" applyBorder="1" applyAlignment="1">
      <alignment vertical="center"/>
    </xf>
    <xf numFmtId="0" fontId="10" fillId="0" borderId="67" xfId="0" applyFont="1" applyBorder="1" applyAlignment="1">
      <alignment horizontal="center" vertical="center" wrapText="1"/>
    </xf>
    <xf numFmtId="0" fontId="10" fillId="0" borderId="67" xfId="0" applyFont="1" applyBorder="1" applyAlignment="1">
      <alignment horizontal="center" vertical="center"/>
    </xf>
    <xf numFmtId="0" fontId="8" fillId="0" borderId="67" xfId="0" applyFont="1" applyBorder="1" applyAlignment="1">
      <alignment horizontal="center" vertical="center" wrapText="1"/>
    </xf>
    <xf numFmtId="44" fontId="8" fillId="0" borderId="67" xfId="0" applyNumberFormat="1" applyFont="1" applyBorder="1" applyAlignment="1">
      <alignment horizontal="center" vertical="center" wrapText="1"/>
    </xf>
    <xf numFmtId="0" fontId="8" fillId="0" borderId="66" xfId="0" applyFont="1" applyBorder="1" applyAlignment="1">
      <alignment horizontal="center" vertical="center"/>
    </xf>
    <xf numFmtId="0" fontId="8" fillId="0" borderId="68" xfId="0" applyFont="1" applyBorder="1" applyAlignment="1">
      <alignment vertical="center"/>
    </xf>
    <xf numFmtId="8" fontId="8" fillId="0" borderId="66" xfId="0" applyNumberFormat="1" applyFont="1" applyBorder="1" applyAlignment="1">
      <alignment horizontal="center" vertical="center" wrapText="1"/>
    </xf>
    <xf numFmtId="8" fontId="8" fillId="0" borderId="67" xfId="0" applyNumberFormat="1" applyFont="1" applyBorder="1" applyAlignment="1">
      <alignment horizontal="center" vertical="center" wrapText="1"/>
    </xf>
    <xf numFmtId="8" fontId="8" fillId="0" borderId="67" xfId="0" applyNumberFormat="1" applyFont="1" applyBorder="1" applyAlignment="1">
      <alignment horizontal="center" vertical="center"/>
    </xf>
    <xf numFmtId="8" fontId="10" fillId="0" borderId="67" xfId="0" applyNumberFormat="1" applyFont="1" applyBorder="1" applyAlignment="1">
      <alignment horizontal="center" vertical="center" wrapText="1"/>
    </xf>
    <xf numFmtId="44" fontId="8" fillId="0" borderId="86" xfId="0" applyNumberFormat="1" applyFont="1" applyBorder="1" applyAlignment="1">
      <alignment horizontal="center" vertical="center" wrapText="1"/>
    </xf>
    <xf numFmtId="0" fontId="71" fillId="0" borderId="64" xfId="0" applyFont="1" applyBorder="1" applyAlignment="1">
      <alignment horizontal="center"/>
    </xf>
    <xf numFmtId="0" fontId="10" fillId="0" borderId="0" xfId="0" applyFont="1" applyAlignment="1">
      <alignment wrapText="1"/>
    </xf>
    <xf numFmtId="0" fontId="10" fillId="0" borderId="74" xfId="0" applyFont="1" applyBorder="1" applyAlignment="1">
      <alignment horizontal="center" wrapText="1"/>
    </xf>
    <xf numFmtId="0" fontId="8" fillId="0" borderId="0" xfId="0" applyFont="1" applyAlignment="1">
      <alignment vertical="top"/>
    </xf>
    <xf numFmtId="8" fontId="0" fillId="0" borderId="0" xfId="0" applyNumberFormat="1"/>
    <xf numFmtId="0" fontId="10" fillId="0" borderId="101" xfId="0" applyFont="1" applyBorder="1" applyAlignment="1">
      <alignment horizontal="center" wrapText="1"/>
    </xf>
    <xf numFmtId="0" fontId="10" fillId="0" borderId="100" xfId="0" applyFont="1" applyBorder="1" applyAlignment="1">
      <alignment horizontal="center" wrapText="1"/>
    </xf>
    <xf numFmtId="165" fontId="8" fillId="0" borderId="93" xfId="0" applyNumberFormat="1" applyFont="1" applyBorder="1" applyAlignment="1">
      <alignment vertical="center"/>
    </xf>
    <xf numFmtId="169" fontId="8" fillId="0" borderId="93" xfId="0" applyNumberFormat="1" applyFont="1" applyBorder="1" applyAlignment="1">
      <alignment horizontal="center" vertical="center"/>
    </xf>
    <xf numFmtId="0" fontId="8" fillId="0" borderId="82" xfId="0" applyFont="1" applyBorder="1" applyAlignment="1">
      <alignment horizontal="left"/>
    </xf>
    <xf numFmtId="39" fontId="8" fillId="0" borderId="7" xfId="0" applyNumberFormat="1" applyFont="1" applyBorder="1" applyAlignment="1">
      <alignment vertical="center"/>
    </xf>
    <xf numFmtId="0" fontId="16" fillId="0" borderId="0" xfId="0" applyFont="1" applyAlignment="1">
      <alignment wrapText="1"/>
    </xf>
    <xf numFmtId="177" fontId="8" fillId="0" borderId="86" xfId="0" applyNumberFormat="1" applyFont="1" applyBorder="1" applyAlignment="1">
      <alignment horizontal="center" vertical="center"/>
    </xf>
    <xf numFmtId="169" fontId="8" fillId="0" borderId="7" xfId="0" applyNumberFormat="1" applyFont="1" applyBorder="1" applyAlignment="1">
      <alignment horizontal="center" vertical="center"/>
    </xf>
    <xf numFmtId="177" fontId="8" fillId="0" borderId="0" xfId="0" applyNumberFormat="1" applyFont="1" applyAlignment="1">
      <alignment horizontal="center" vertical="center"/>
    </xf>
    <xf numFmtId="0" fontId="13" fillId="0" borderId="0" xfId="0" applyFont="1" applyAlignment="1">
      <alignment horizontal="center" wrapText="1"/>
    </xf>
    <xf numFmtId="165" fontId="8" fillId="0" borderId="86" xfId="0" applyNumberFormat="1" applyFont="1" applyBorder="1"/>
    <xf numFmtId="165" fontId="10" fillId="0" borderId="86" xfId="0" applyNumberFormat="1" applyFont="1" applyBorder="1" applyAlignment="1">
      <alignment horizontal="center"/>
    </xf>
    <xf numFmtId="0" fontId="8" fillId="0" borderId="62" xfId="0" applyFont="1" applyBorder="1" applyAlignment="1">
      <alignment horizontal="right"/>
    </xf>
    <xf numFmtId="165" fontId="8" fillId="0" borderId="61" xfId="0" applyNumberFormat="1" applyFont="1" applyBorder="1" applyAlignment="1">
      <alignment vertical="center"/>
    </xf>
    <xf numFmtId="169" fontId="8" fillId="0" borderId="60" xfId="0" applyNumberFormat="1" applyFont="1" applyBorder="1" applyAlignment="1">
      <alignment horizontal="center" vertical="center"/>
    </xf>
    <xf numFmtId="169" fontId="8" fillId="0" borderId="13" xfId="0" applyNumberFormat="1" applyFont="1" applyBorder="1" applyAlignment="1">
      <alignment vertical="center"/>
    </xf>
    <xf numFmtId="165" fontId="8" fillId="0" borderId="61" xfId="0" applyNumberFormat="1" applyFont="1" applyBorder="1"/>
    <xf numFmtId="165" fontId="8" fillId="0" borderId="60" xfId="0" applyNumberFormat="1" applyFont="1" applyBorder="1"/>
    <xf numFmtId="165" fontId="8" fillId="0" borderId="62" xfId="0" applyNumberFormat="1" applyFont="1" applyBorder="1"/>
    <xf numFmtId="0" fontId="8" fillId="0" borderId="86" xfId="0" applyFont="1" applyBorder="1" applyAlignment="1">
      <alignment vertical="center"/>
    </xf>
    <xf numFmtId="3" fontId="8" fillId="0" borderId="86" xfId="0" applyNumberFormat="1" applyFont="1" applyBorder="1" applyAlignment="1">
      <alignment vertical="center"/>
    </xf>
    <xf numFmtId="37" fontId="8" fillId="0" borderId="86" xfId="2" applyNumberFormat="1" applyFont="1" applyFill="1" applyBorder="1" applyAlignment="1">
      <alignment horizontal="center"/>
    </xf>
    <xf numFmtId="44" fontId="8" fillId="0" borderId="86" xfId="0" applyNumberFormat="1" applyFont="1" applyBorder="1" applyAlignment="1">
      <alignment horizontal="center"/>
    </xf>
    <xf numFmtId="0" fontId="10" fillId="0" borderId="60" xfId="0" applyFont="1" applyBorder="1" applyAlignment="1">
      <alignment vertical="center"/>
    </xf>
    <xf numFmtId="3" fontId="8" fillId="0" borderId="60" xfId="0" applyNumberFormat="1" applyFont="1" applyBorder="1" applyAlignment="1">
      <alignment vertical="center"/>
    </xf>
    <xf numFmtId="0" fontId="8" fillId="0" borderId="81" xfId="0" applyFont="1" applyBorder="1" applyAlignment="1">
      <alignment horizontal="center"/>
    </xf>
    <xf numFmtId="0" fontId="8" fillId="0" borderId="81" xfId="0" applyFont="1" applyBorder="1"/>
    <xf numFmtId="0" fontId="8" fillId="0" borderId="98" xfId="0" applyFont="1" applyBorder="1" applyAlignment="1">
      <alignment horizontal="right"/>
    </xf>
    <xf numFmtId="0" fontId="8" fillId="0" borderId="99" xfId="0" applyFont="1" applyBorder="1" applyAlignment="1">
      <alignment horizontal="right"/>
    </xf>
    <xf numFmtId="0" fontId="8" fillId="0" borderId="0" xfId="0" applyFont="1" applyAlignment="1">
      <alignment horizontal="left"/>
    </xf>
    <xf numFmtId="0" fontId="8" fillId="0" borderId="97" xfId="0" applyFont="1" applyBorder="1" applyAlignment="1">
      <alignment horizontal="center" wrapText="1"/>
    </xf>
    <xf numFmtId="0" fontId="8" fillId="0" borderId="13" xfId="0" applyFont="1" applyBorder="1" applyAlignment="1">
      <alignment horizontal="center" wrapText="1"/>
    </xf>
    <xf numFmtId="166" fontId="8" fillId="0" borderId="97" xfId="0" applyNumberFormat="1" applyFont="1" applyBorder="1" applyAlignment="1">
      <alignment horizontal="center" wrapText="1"/>
    </xf>
    <xf numFmtId="166" fontId="8" fillId="0" borderId="99" xfId="0" applyNumberFormat="1" applyFont="1" applyBorder="1" applyAlignment="1">
      <alignment horizontal="center" wrapText="1"/>
    </xf>
    <xf numFmtId="166" fontId="10" fillId="0" borderId="86" xfId="0" applyNumberFormat="1" applyFont="1" applyBorder="1" applyAlignment="1">
      <alignment horizontal="center"/>
    </xf>
    <xf numFmtId="37" fontId="8" fillId="0" borderId="86" xfId="2" applyNumberFormat="1" applyFont="1" applyFill="1" applyBorder="1" applyAlignment="1">
      <alignment horizontal="right"/>
    </xf>
    <xf numFmtId="0" fontId="10" fillId="0" borderId="86" xfId="0" applyFont="1" applyBorder="1"/>
    <xf numFmtId="0" fontId="67"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right" vertical="center" wrapText="1"/>
    </xf>
    <xf numFmtId="166" fontId="8" fillId="0" borderId="64" xfId="0" applyNumberFormat="1" applyFont="1" applyBorder="1" applyAlignment="1">
      <alignment horizontal="center" wrapText="1"/>
    </xf>
    <xf numFmtId="0" fontId="67" fillId="0" borderId="58" xfId="0" applyFont="1" applyBorder="1" applyAlignment="1">
      <alignment horizontal="center" vertical="center" wrapText="1"/>
    </xf>
    <xf numFmtId="0" fontId="6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3" fontId="12" fillId="0" borderId="1" xfId="0" applyNumberFormat="1" applyFont="1" applyBorder="1" applyAlignment="1">
      <alignment horizontal="right" vertical="center" wrapText="1"/>
    </xf>
    <xf numFmtId="164" fontId="8" fillId="0" borderId="0" xfId="0" applyNumberFormat="1" applyFont="1" applyAlignment="1">
      <alignment horizontal="right" wrapText="1"/>
    </xf>
    <xf numFmtId="0" fontId="10" fillId="0" borderId="58" xfId="0" applyFont="1" applyBorder="1" applyAlignment="1">
      <alignment horizontal="center" vertical="center"/>
    </xf>
    <xf numFmtId="3" fontId="12" fillId="0" borderId="2" xfId="0" applyNumberFormat="1" applyFont="1" applyBorder="1" applyAlignment="1">
      <alignment horizontal="right" vertical="center" wrapText="1"/>
    </xf>
    <xf numFmtId="0" fontId="67"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8" fillId="0" borderId="24" xfId="0" applyFont="1" applyBorder="1" applyAlignment="1">
      <alignment horizontal="center" vertical="center" wrapText="1"/>
    </xf>
    <xf numFmtId="165" fontId="8" fillId="0" borderId="86" xfId="0" applyNumberFormat="1" applyFont="1" applyBorder="1" applyAlignment="1">
      <alignment horizontal="center"/>
    </xf>
    <xf numFmtId="0" fontId="70" fillId="0" borderId="0" xfId="0" applyFont="1" applyAlignment="1">
      <alignment wrapText="1"/>
    </xf>
    <xf numFmtId="169" fontId="8" fillId="0" borderId="86" xfId="0" applyNumberFormat="1" applyFont="1" applyBorder="1" applyAlignment="1">
      <alignment horizontal="center"/>
    </xf>
    <xf numFmtId="169" fontId="8" fillId="0" borderId="7" xfId="0" applyNumberFormat="1" applyFont="1" applyBorder="1"/>
    <xf numFmtId="1" fontId="73" fillId="0" borderId="66" xfId="0" applyNumberFormat="1" applyFont="1" applyBorder="1" applyAlignment="1">
      <alignment horizontal="center" vertical="center" wrapText="1"/>
    </xf>
    <xf numFmtId="8" fontId="73" fillId="0" borderId="66" xfId="0" applyNumberFormat="1" applyFont="1" applyBorder="1" applyAlignment="1">
      <alignment horizontal="right" vertical="center"/>
    </xf>
    <xf numFmtId="8" fontId="72" fillId="0" borderId="66" xfId="0" applyNumberFormat="1" applyFont="1" applyBorder="1" applyAlignment="1">
      <alignment horizontal="center" vertical="center" wrapText="1"/>
    </xf>
    <xf numFmtId="8" fontId="12" fillId="0" borderId="66" xfId="0" applyNumberFormat="1" applyFont="1" applyBorder="1" applyAlignment="1">
      <alignment horizontal="right" vertical="center"/>
    </xf>
    <xf numFmtId="2" fontId="73" fillId="0" borderId="67" xfId="0" applyNumberFormat="1" applyFont="1" applyBorder="1" applyAlignment="1">
      <alignment horizontal="right" vertical="center" wrapText="1"/>
    </xf>
    <xf numFmtId="8" fontId="73" fillId="0" borderId="67" xfId="0" applyNumberFormat="1" applyFont="1" applyBorder="1" applyAlignment="1">
      <alignment horizontal="center" vertical="center" wrapText="1"/>
    </xf>
    <xf numFmtId="1" fontId="73" fillId="0" borderId="67" xfId="0" applyNumberFormat="1" applyFont="1" applyBorder="1" applyAlignment="1">
      <alignment horizontal="center" vertical="center" wrapText="1"/>
    </xf>
    <xf numFmtId="8" fontId="73" fillId="0" borderId="67" xfId="0" applyNumberFormat="1" applyFont="1" applyBorder="1" applyAlignment="1">
      <alignment horizontal="right" vertical="center"/>
    </xf>
    <xf numFmtId="8" fontId="12" fillId="0" borderId="67" xfId="0" applyNumberFormat="1" applyFont="1" applyBorder="1" applyAlignment="1">
      <alignment horizontal="center" vertical="center" wrapText="1"/>
    </xf>
    <xf numFmtId="164" fontId="10" fillId="0" borderId="0" xfId="0" applyNumberFormat="1" applyFont="1" applyAlignment="1">
      <alignment horizontal="right"/>
    </xf>
    <xf numFmtId="0" fontId="10" fillId="0" borderId="0" xfId="0" applyFont="1" applyAlignment="1">
      <alignment horizontal="center"/>
    </xf>
    <xf numFmtId="0" fontId="10" fillId="0" borderId="0" xfId="0" applyFont="1" applyAlignment="1">
      <alignment horizontal="right"/>
    </xf>
    <xf numFmtId="166" fontId="10" fillId="0" borderId="101" xfId="0" applyNumberFormat="1" applyFont="1" applyBorder="1" applyAlignment="1">
      <alignment horizontal="center" wrapText="1"/>
    </xf>
    <xf numFmtId="0" fontId="8" fillId="0" borderId="12" xfId="0" applyFont="1" applyBorder="1" applyAlignment="1">
      <alignment horizontal="center"/>
    </xf>
    <xf numFmtId="0" fontId="8" fillId="0" borderId="13" xfId="0" applyFont="1" applyBorder="1" applyAlignment="1">
      <alignment horizontal="center"/>
    </xf>
    <xf numFmtId="0" fontId="8" fillId="0" borderId="61" xfId="0" applyFont="1" applyBorder="1" applyAlignment="1">
      <alignment horizontal="center" wrapText="1"/>
    </xf>
    <xf numFmtId="166" fontId="10" fillId="0" borderId="61" xfId="0" applyNumberFormat="1" applyFont="1" applyBorder="1" applyAlignment="1">
      <alignment horizontal="center" wrapText="1"/>
    </xf>
    <xf numFmtId="0" fontId="8" fillId="0" borderId="60" xfId="0" applyFont="1" applyBorder="1"/>
    <xf numFmtId="0" fontId="8" fillId="0" borderId="62" xfId="0" applyFont="1" applyBorder="1"/>
    <xf numFmtId="44" fontId="8" fillId="0" borderId="86" xfId="0" applyNumberFormat="1" applyFont="1" applyBorder="1" applyAlignment="1">
      <alignment wrapText="1"/>
    </xf>
    <xf numFmtId="0" fontId="8" fillId="0" borderId="62" xfId="0" applyFont="1" applyBorder="1" applyAlignment="1">
      <alignment horizontal="center" wrapText="1"/>
    </xf>
    <xf numFmtId="170" fontId="8" fillId="0" borderId="61" xfId="0" applyNumberFormat="1" applyFont="1" applyBorder="1" applyAlignment="1">
      <alignment horizontal="center"/>
    </xf>
    <xf numFmtId="0" fontId="8" fillId="0" borderId="60" xfId="0" applyFont="1" applyBorder="1" applyAlignment="1">
      <alignment horizontal="center"/>
    </xf>
    <xf numFmtId="0" fontId="8" fillId="0" borderId="83" xfId="0" applyFont="1" applyBorder="1" applyAlignment="1">
      <alignment horizontal="left" vertical="top" wrapText="1"/>
    </xf>
    <xf numFmtId="0" fontId="8" fillId="0" borderId="81" xfId="0" applyFont="1" applyBorder="1" applyAlignment="1">
      <alignment horizontal="left" vertical="top" wrapText="1"/>
    </xf>
    <xf numFmtId="0" fontId="8" fillId="0" borderId="7" xfId="0" applyFont="1" applyBorder="1" applyAlignment="1">
      <alignment vertical="center" wrapText="1"/>
    </xf>
    <xf numFmtId="0" fontId="8" fillId="0" borderId="7" xfId="0" applyFont="1" applyBorder="1" applyAlignment="1">
      <alignment horizontal="right" vertical="center"/>
    </xf>
    <xf numFmtId="0" fontId="8" fillId="0" borderId="60" xfId="0" applyFont="1" applyBorder="1" applyAlignment="1">
      <alignment horizontal="right" vertical="center"/>
    </xf>
    <xf numFmtId="3" fontId="8" fillId="0" borderId="61" xfId="0" applyNumberFormat="1" applyFont="1" applyBorder="1"/>
    <xf numFmtId="3" fontId="8" fillId="0" borderId="73" xfId="0" applyNumberFormat="1" applyFont="1" applyBorder="1"/>
    <xf numFmtId="44" fontId="8" fillId="0" borderId="0" xfId="0" applyNumberFormat="1" applyFont="1"/>
    <xf numFmtId="0" fontId="8" fillId="0" borderId="12" xfId="0" applyFont="1" applyBorder="1" applyAlignment="1">
      <alignment vertical="top" wrapText="1"/>
    </xf>
    <xf numFmtId="0" fontId="8" fillId="0" borderId="1" xfId="0" applyFont="1" applyBorder="1" applyAlignment="1">
      <alignment vertical="top" wrapText="1"/>
    </xf>
    <xf numFmtId="0" fontId="8" fillId="0" borderId="13" xfId="0" applyFont="1" applyBorder="1" applyAlignment="1">
      <alignment vertical="top" wrapText="1"/>
    </xf>
    <xf numFmtId="0" fontId="8" fillId="0" borderId="60" xfId="0" applyFont="1" applyBorder="1" applyAlignment="1">
      <alignment horizontal="center" vertical="center"/>
    </xf>
    <xf numFmtId="169" fontId="8" fillId="0" borderId="62" xfId="0" applyNumberFormat="1" applyFont="1" applyBorder="1" applyAlignment="1">
      <alignment horizontal="center" vertical="center"/>
    </xf>
    <xf numFmtId="166" fontId="8" fillId="0" borderId="86" xfId="0" applyNumberFormat="1" applyFont="1" applyBorder="1" applyAlignment="1">
      <alignment horizontal="right" vertical="center" wrapText="1"/>
    </xf>
    <xf numFmtId="3" fontId="8" fillId="0" borderId="0" xfId="0" applyNumberFormat="1" applyFont="1"/>
    <xf numFmtId="166" fontId="8" fillId="0" borderId="86" xfId="0" applyNumberFormat="1" applyFont="1" applyBorder="1" applyAlignment="1">
      <alignment horizontal="center" vertical="center" wrapText="1"/>
    </xf>
    <xf numFmtId="44" fontId="8" fillId="0" borderId="7" xfId="0" applyNumberFormat="1" applyFont="1" applyBorder="1" applyAlignment="1">
      <alignment horizontal="center"/>
    </xf>
    <xf numFmtId="164" fontId="8" fillId="0" borderId="7" xfId="0" applyNumberFormat="1" applyFont="1" applyBorder="1" applyAlignment="1">
      <alignment horizontal="right"/>
    </xf>
    <xf numFmtId="0" fontId="8" fillId="0" borderId="0" xfId="0" applyFont="1" applyAlignment="1">
      <alignment horizontal="center" vertical="top" wrapText="1"/>
    </xf>
    <xf numFmtId="0" fontId="8" fillId="0" borderId="62" xfId="0" applyFont="1" applyBorder="1" applyAlignment="1">
      <alignment wrapText="1"/>
    </xf>
    <xf numFmtId="0" fontId="8" fillId="0" borderId="12" xfId="0" applyFont="1" applyBorder="1" applyAlignment="1">
      <alignment wrapText="1"/>
    </xf>
    <xf numFmtId="0" fontId="8" fillId="0" borderId="1" xfId="0" applyFont="1" applyBorder="1" applyAlignment="1">
      <alignment wrapText="1"/>
    </xf>
    <xf numFmtId="165" fontId="8" fillId="0" borderId="86" xfId="0" applyNumberFormat="1" applyFont="1" applyBorder="1" applyAlignment="1">
      <alignment horizontal="right"/>
    </xf>
    <xf numFmtId="37" fontId="8" fillId="0" borderId="86" xfId="0" applyNumberFormat="1" applyFont="1" applyBorder="1" applyAlignment="1">
      <alignment horizontal="center"/>
    </xf>
    <xf numFmtId="169" fontId="8" fillId="0" borderId="86" xfId="0" applyNumberFormat="1" applyFont="1" applyBorder="1"/>
    <xf numFmtId="37" fontId="8" fillId="0" borderId="98" xfId="0" applyNumberFormat="1" applyFont="1" applyBorder="1" applyAlignment="1">
      <alignment horizontal="center"/>
    </xf>
    <xf numFmtId="169" fontId="8" fillId="0" borderId="99" xfId="0" applyNumberFormat="1" applyFont="1" applyBorder="1"/>
    <xf numFmtId="0" fontId="8" fillId="0" borderId="97" xfId="0" applyFont="1" applyBorder="1" applyAlignment="1">
      <alignment horizontal="left" wrapText="1"/>
    </xf>
    <xf numFmtId="0" fontId="8" fillId="0" borderId="98" xfId="0" applyFont="1" applyBorder="1" applyAlignment="1">
      <alignment horizontal="left" wrapText="1"/>
    </xf>
    <xf numFmtId="0" fontId="8" fillId="0" borderId="99" xfId="0" applyFont="1" applyBorder="1" applyAlignment="1">
      <alignment horizontal="left" wrapText="1"/>
    </xf>
    <xf numFmtId="44" fontId="8" fillId="0" borderId="98" xfId="2" applyFont="1" applyFill="1" applyBorder="1" applyAlignment="1">
      <alignment horizontal="right"/>
    </xf>
    <xf numFmtId="3" fontId="8" fillId="0" borderId="86" xfId="0" applyNumberFormat="1" applyFont="1" applyBorder="1" applyAlignment="1">
      <alignment horizontal="center"/>
    </xf>
    <xf numFmtId="170" fontId="8" fillId="0" borderId="60" xfId="0" applyNumberFormat="1" applyFont="1" applyBorder="1" applyAlignment="1">
      <alignment vertical="center" wrapText="1"/>
    </xf>
    <xf numFmtId="0" fontId="8" fillId="0" borderId="62" xfId="0" applyFont="1" applyBorder="1" applyAlignment="1">
      <alignment vertical="center" wrapText="1"/>
    </xf>
    <xf numFmtId="166" fontId="8" fillId="0" borderId="61" xfId="0" applyNumberFormat="1" applyFont="1" applyBorder="1" applyAlignment="1">
      <alignment horizontal="center"/>
    </xf>
    <xf numFmtId="166" fontId="8" fillId="0" borderId="62" xfId="0" applyNumberFormat="1" applyFont="1" applyBorder="1" applyAlignment="1">
      <alignment horizontal="center"/>
    </xf>
    <xf numFmtId="0" fontId="8" fillId="0" borderId="64" xfId="0" applyFont="1" applyBorder="1" applyAlignment="1">
      <alignment horizontal="center" vertical="center"/>
    </xf>
    <xf numFmtId="0" fontId="10" fillId="0" borderId="82" xfId="0" applyFont="1" applyBorder="1" applyAlignment="1">
      <alignment horizontal="center" vertical="center" wrapText="1"/>
    </xf>
    <xf numFmtId="0" fontId="8" fillId="0" borderId="64" xfId="0" applyFont="1" applyBorder="1" applyAlignment="1">
      <alignment horizontal="center"/>
    </xf>
    <xf numFmtId="0" fontId="10" fillId="0" borderId="83" xfId="0" applyFont="1" applyBorder="1" applyAlignment="1">
      <alignment horizontal="center" vertical="center" wrapText="1"/>
    </xf>
    <xf numFmtId="0" fontId="8" fillId="0" borderId="86" xfId="0" applyFont="1" applyBorder="1" applyAlignment="1">
      <alignment vertical="center"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14" fillId="0" borderId="86" xfId="0" applyFont="1" applyBorder="1" applyAlignment="1">
      <alignment vertical="top" wrapText="1"/>
    </xf>
    <xf numFmtId="0" fontId="8" fillId="0" borderId="7" xfId="0" applyFont="1" applyBorder="1" applyAlignment="1">
      <alignment horizontal="left" vertical="top" wrapText="1"/>
    </xf>
    <xf numFmtId="2" fontId="8" fillId="0" borderId="61" xfId="0" applyNumberFormat="1" applyFont="1" applyBorder="1"/>
    <xf numFmtId="0" fontId="8" fillId="0" borderId="97" xfId="0" applyFont="1" applyBorder="1" applyAlignment="1">
      <alignment horizontal="center"/>
    </xf>
    <xf numFmtId="0" fontId="8" fillId="0" borderId="99" xfId="0" applyFont="1" applyBorder="1" applyAlignment="1">
      <alignment horizontal="center"/>
    </xf>
    <xf numFmtId="2" fontId="8" fillId="0" borderId="97" xfId="0" applyNumberFormat="1" applyFont="1" applyBorder="1"/>
    <xf numFmtId="1" fontId="8" fillId="0" borderId="60" xfId="0" applyNumberFormat="1" applyFont="1" applyBorder="1" applyAlignment="1">
      <alignment vertical="center"/>
    </xf>
    <xf numFmtId="9" fontId="8" fillId="0" borderId="86" xfId="0" applyNumberFormat="1" applyFont="1" applyBorder="1"/>
    <xf numFmtId="0" fontId="14" fillId="0" borderId="86" xfId="0" applyFont="1" applyBorder="1" applyAlignment="1">
      <alignment horizontal="center" vertical="center"/>
    </xf>
    <xf numFmtId="166" fontId="8" fillId="0" borderId="86" xfId="0" applyNumberFormat="1" applyFont="1" applyBorder="1" applyAlignment="1">
      <alignment horizontal="center" wrapText="1"/>
    </xf>
    <xf numFmtId="0" fontId="8" fillId="0" borderId="1" xfId="0" applyFont="1" applyBorder="1" applyAlignment="1">
      <alignment vertical="center" wrapText="1"/>
    </xf>
    <xf numFmtId="165" fontId="8" fillId="0" borderId="12" xfId="0" applyNumberFormat="1" applyFont="1" applyBorder="1" applyAlignment="1">
      <alignment horizontal="center"/>
    </xf>
    <xf numFmtId="2" fontId="8" fillId="0" borderId="62" xfId="0" applyNumberFormat="1" applyFont="1" applyBorder="1" applyAlignment="1">
      <alignment horizontal="center"/>
    </xf>
    <xf numFmtId="166" fontId="8" fillId="0" borderId="61" xfId="0" applyNumberFormat="1" applyFont="1" applyBorder="1"/>
    <xf numFmtId="166" fontId="8" fillId="0" borderId="97" xfId="0" applyNumberFormat="1" applyFont="1" applyBorder="1"/>
    <xf numFmtId="0" fontId="8" fillId="0" borderId="99" xfId="0" applyFont="1" applyBorder="1" applyAlignment="1">
      <alignment horizontal="center" wrapText="1"/>
    </xf>
    <xf numFmtId="2" fontId="8" fillId="0" borderId="99" xfId="0" applyNumberFormat="1" applyFont="1" applyBorder="1" applyAlignment="1">
      <alignment horizontal="center"/>
    </xf>
    <xf numFmtId="0" fontId="10" fillId="0" borderId="13" xfId="0" applyFont="1" applyBorder="1" applyAlignment="1">
      <alignment horizontal="center" vertical="center" wrapText="1"/>
    </xf>
    <xf numFmtId="3" fontId="8" fillId="0" borderId="1" xfId="0" applyNumberFormat="1" applyFont="1" applyBorder="1" applyAlignment="1">
      <alignment vertical="center"/>
    </xf>
    <xf numFmtId="9" fontId="8" fillId="0" borderId="61" xfId="0" applyNumberFormat="1" applyFont="1" applyBorder="1"/>
    <xf numFmtId="9" fontId="8" fillId="0" borderId="97" xfId="0" applyNumberFormat="1" applyFont="1" applyBorder="1"/>
    <xf numFmtId="2" fontId="8" fillId="0" borderId="93" xfId="0" applyNumberFormat="1" applyFont="1" applyBorder="1" applyAlignment="1">
      <alignment horizontal="center"/>
    </xf>
    <xf numFmtId="166" fontId="8" fillId="0" borderId="86" xfId="0" applyNumberFormat="1" applyFont="1" applyBorder="1" applyAlignment="1">
      <alignment horizontal="right"/>
    </xf>
    <xf numFmtId="165" fontId="8" fillId="0" borderId="60" xfId="0" applyNumberFormat="1" applyFont="1" applyBorder="1" applyAlignment="1">
      <alignment vertical="center" wrapText="1"/>
    </xf>
    <xf numFmtId="3" fontId="8" fillId="0" borderId="0" xfId="0" applyNumberFormat="1" applyFont="1" applyAlignment="1">
      <alignment horizontal="center" vertical="center" wrapText="1"/>
    </xf>
    <xf numFmtId="3" fontId="8" fillId="0" borderId="86" xfId="0" applyNumberFormat="1" applyFont="1" applyBorder="1" applyAlignment="1">
      <alignment horizontal="center" vertical="center" wrapText="1"/>
    </xf>
    <xf numFmtId="164" fontId="8" fillId="0" borderId="7" xfId="0" applyNumberFormat="1" applyFont="1" applyBorder="1" applyAlignment="1">
      <alignment horizontal="center"/>
    </xf>
    <xf numFmtId="3" fontId="8" fillId="0" borderId="61" xfId="0" applyNumberFormat="1" applyFont="1" applyBorder="1" applyAlignment="1">
      <alignment horizontal="center"/>
    </xf>
    <xf numFmtId="44" fontId="8" fillId="0" borderId="0" xfId="0" applyNumberFormat="1" applyFont="1" applyAlignment="1">
      <alignment horizontal="left" vertical="top" wrapText="1"/>
    </xf>
    <xf numFmtId="16" fontId="8" fillId="0" borderId="86" xfId="0" quotePrefix="1" applyNumberFormat="1" applyFont="1" applyBorder="1" applyAlignment="1">
      <alignment horizontal="center"/>
    </xf>
    <xf numFmtId="44" fontId="8" fillId="0" borderId="0" xfId="0" applyNumberFormat="1" applyFont="1" applyAlignment="1">
      <alignment vertical="top" wrapText="1"/>
    </xf>
    <xf numFmtId="0" fontId="8" fillId="0" borderId="93" xfId="0" applyFont="1" applyBorder="1" applyAlignment="1">
      <alignment horizontal="left" wrapText="1"/>
    </xf>
    <xf numFmtId="169" fontId="8" fillId="0" borderId="98" xfId="0" applyNumberFormat="1" applyFont="1" applyBorder="1" applyAlignment="1">
      <alignment horizontal="center" vertical="center"/>
    </xf>
    <xf numFmtId="169" fontId="8" fillId="0" borderId="99" xfId="0" applyNumberFormat="1" applyFont="1" applyBorder="1" applyAlignment="1">
      <alignment horizontal="center" vertical="center"/>
    </xf>
    <xf numFmtId="164" fontId="8" fillId="0" borderId="0" xfId="0" applyNumberFormat="1" applyFont="1" applyAlignment="1">
      <alignment wrapText="1"/>
    </xf>
    <xf numFmtId="0" fontId="10" fillId="0" borderId="1" xfId="0" applyFont="1" applyBorder="1" applyAlignment="1">
      <alignment horizontal="center" wrapText="1"/>
    </xf>
    <xf numFmtId="164" fontId="8" fillId="0" borderId="0" xfId="0" applyNumberFormat="1" applyFont="1" applyAlignment="1">
      <alignment vertical="top" wrapText="1"/>
    </xf>
    <xf numFmtId="0" fontId="8" fillId="0" borderId="94" xfId="0" applyFont="1" applyBorder="1" applyAlignment="1">
      <alignment horizontal="center"/>
    </xf>
    <xf numFmtId="0" fontId="8" fillId="0" borderId="7" xfId="0" applyFont="1" applyBorder="1" applyAlignment="1">
      <alignment wrapText="1"/>
    </xf>
    <xf numFmtId="2" fontId="8" fillId="0" borderId="8" xfId="0" applyNumberFormat="1" applyFont="1" applyBorder="1" applyAlignment="1">
      <alignment horizontal="center"/>
    </xf>
    <xf numFmtId="164" fontId="8" fillId="0" borderId="93" xfId="0" applyNumberFormat="1" applyFont="1" applyBorder="1" applyAlignment="1">
      <alignment horizontal="right"/>
    </xf>
    <xf numFmtId="0" fontId="8" fillId="0" borderId="60" xfId="0" applyFont="1" applyBorder="1" applyAlignment="1">
      <alignment wrapText="1"/>
    </xf>
    <xf numFmtId="6" fontId="8" fillId="0" borderId="60" xfId="2" applyNumberFormat="1" applyFont="1" applyFill="1" applyBorder="1" applyAlignment="1">
      <alignment horizontal="center"/>
    </xf>
    <xf numFmtId="165" fontId="8" fillId="0" borderId="86" xfId="0" applyNumberFormat="1" applyFont="1" applyBorder="1" applyAlignment="1">
      <alignment horizontal="center" vertical="center"/>
    </xf>
    <xf numFmtId="44" fontId="8" fillId="0" borderId="93" xfId="2" applyFont="1" applyFill="1" applyBorder="1" applyAlignment="1">
      <alignment horizontal="left" vertical="center"/>
    </xf>
    <xf numFmtId="2" fontId="78" fillId="0" borderId="87" xfId="0" applyNumberFormat="1" applyFont="1" applyBorder="1" applyAlignment="1">
      <alignment horizontal="center"/>
    </xf>
    <xf numFmtId="0" fontId="78" fillId="0" borderId="87" xfId="0" applyFont="1" applyBorder="1" applyAlignment="1">
      <alignment horizontal="center"/>
    </xf>
    <xf numFmtId="0" fontId="77" fillId="0" borderId="23" xfId="0" applyFont="1" applyBorder="1" applyAlignment="1">
      <alignment horizontal="center" vertical="center"/>
    </xf>
    <xf numFmtId="0" fontId="77" fillId="0" borderId="14" xfId="0" applyFont="1" applyBorder="1" applyAlignment="1">
      <alignment horizontal="center" vertical="center"/>
    </xf>
    <xf numFmtId="0" fontId="76" fillId="0" borderId="14" xfId="0" applyFont="1" applyBorder="1" applyAlignment="1">
      <alignment vertical="center"/>
    </xf>
    <xf numFmtId="0" fontId="76" fillId="0" borderId="14" xfId="0" applyFont="1" applyBorder="1" applyAlignment="1">
      <alignment horizontal="center" vertical="center"/>
    </xf>
    <xf numFmtId="0" fontId="76" fillId="0" borderId="14" xfId="0" applyFont="1" applyBorder="1" applyAlignment="1">
      <alignment horizontal="center" vertical="center" wrapText="1"/>
    </xf>
    <xf numFmtId="0" fontId="67" fillId="0" borderId="88" xfId="0" applyFont="1" applyBorder="1" applyAlignment="1">
      <alignment horizontal="center" wrapText="1"/>
    </xf>
    <xf numFmtId="0" fontId="67" fillId="0" borderId="93" xfId="0" applyFont="1" applyBorder="1" applyAlignment="1">
      <alignment horizontal="center" wrapText="1"/>
    </xf>
    <xf numFmtId="0" fontId="67" fillId="0" borderId="87" xfId="0" applyFont="1" applyBorder="1" applyAlignment="1">
      <alignment horizontal="center" wrapText="1"/>
    </xf>
    <xf numFmtId="0" fontId="8" fillId="0" borderId="4" xfId="0" applyFont="1" applyBorder="1" applyAlignment="1">
      <alignment horizontal="center"/>
    </xf>
    <xf numFmtId="0" fontId="8" fillId="0" borderId="5" xfId="0" applyFont="1" applyBorder="1" applyAlignment="1">
      <alignment wrapText="1"/>
    </xf>
    <xf numFmtId="164" fontId="8" fillId="0" borderId="5" xfId="0" applyNumberFormat="1" applyFont="1" applyBorder="1" applyAlignment="1">
      <alignment horizontal="right"/>
    </xf>
    <xf numFmtId="166" fontId="8" fillId="0" borderId="5" xfId="0" applyNumberFormat="1" applyFont="1" applyBorder="1" applyAlignment="1">
      <alignment horizontal="center"/>
    </xf>
    <xf numFmtId="0" fontId="78" fillId="0" borderId="6" xfId="0" applyFont="1" applyBorder="1" applyAlignment="1">
      <alignment horizontal="center"/>
    </xf>
    <xf numFmtId="0" fontId="76" fillId="0" borderId="88" xfId="0" applyFont="1" applyBorder="1" applyAlignment="1">
      <alignment horizontal="center"/>
    </xf>
    <xf numFmtId="0" fontId="76" fillId="0" borderId="93" xfId="0" applyFont="1" applyBorder="1" applyAlignment="1">
      <alignment horizontal="center"/>
    </xf>
    <xf numFmtId="166" fontId="76" fillId="0" borderId="93" xfId="0" applyNumberFormat="1" applyFont="1" applyBorder="1" applyAlignment="1">
      <alignment horizontal="center"/>
    </xf>
    <xf numFmtId="44" fontId="76" fillId="0" borderId="93" xfId="0" applyNumberFormat="1" applyFont="1" applyBorder="1"/>
    <xf numFmtId="0" fontId="76" fillId="0" borderId="87" xfId="0" applyFont="1" applyBorder="1" applyAlignment="1">
      <alignment horizontal="center"/>
    </xf>
    <xf numFmtId="2" fontId="8" fillId="0" borderId="0" xfId="0" applyNumberFormat="1" applyFont="1" applyAlignment="1">
      <alignment horizontal="center"/>
    </xf>
    <xf numFmtId="0" fontId="76" fillId="0" borderId="88" xfId="0" applyFont="1" applyBorder="1"/>
    <xf numFmtId="0" fontId="76" fillId="0" borderId="93" xfId="0" applyFont="1" applyBorder="1"/>
    <xf numFmtId="166" fontId="76" fillId="0" borderId="93" xfId="0" applyNumberFormat="1" applyFont="1" applyBorder="1"/>
    <xf numFmtId="0" fontId="77" fillId="0" borderId="5" xfId="0" applyFont="1" applyBorder="1"/>
    <xf numFmtId="0" fontId="76" fillId="0" borderId="5" xfId="0" applyFont="1" applyBorder="1"/>
    <xf numFmtId="44" fontId="76" fillId="0" borderId="5" xfId="0" applyNumberFormat="1" applyFont="1" applyBorder="1"/>
    <xf numFmtId="0" fontId="76" fillId="0" borderId="6" xfId="0" applyFont="1" applyBorder="1" applyAlignment="1">
      <alignment horizontal="center"/>
    </xf>
    <xf numFmtId="3" fontId="8" fillId="0" borderId="12" xfId="0" applyNumberFormat="1" applyFont="1" applyBorder="1" applyAlignment="1">
      <alignment horizontal="center"/>
    </xf>
    <xf numFmtId="166" fontId="8" fillId="0" borderId="86"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top"/>
    </xf>
    <xf numFmtId="164" fontId="8" fillId="0" borderId="0" xfId="0" applyNumberFormat="1" applyFont="1" applyAlignment="1">
      <alignment horizontal="center" vertical="top"/>
    </xf>
    <xf numFmtId="171" fontId="8" fillId="0" borderId="61" xfId="0" applyNumberFormat="1" applyFont="1" applyBorder="1" applyAlignment="1">
      <alignment horizontal="center"/>
    </xf>
    <xf numFmtId="0" fontId="10" fillId="0" borderId="74" xfId="0" applyFont="1" applyBorder="1"/>
    <xf numFmtId="0" fontId="8" fillId="0" borderId="60" xfId="0" applyFont="1" applyBorder="1" applyAlignment="1">
      <alignment horizontal="center" vertical="top" wrapText="1"/>
    </xf>
    <xf numFmtId="164" fontId="8" fillId="0" borderId="0" xfId="0" applyNumberFormat="1" applyFont="1"/>
    <xf numFmtId="3" fontId="8" fillId="0" borderId="0" xfId="0" applyNumberFormat="1" applyFont="1" applyAlignment="1">
      <alignment vertical="top" wrapText="1"/>
    </xf>
    <xf numFmtId="3" fontId="8" fillId="0" borderId="0" xfId="0" applyNumberFormat="1" applyFont="1" applyAlignment="1">
      <alignment horizontal="center"/>
    </xf>
    <xf numFmtId="0" fontId="10" fillId="0" borderId="74" xfId="0" applyFont="1" applyBorder="1" applyAlignment="1">
      <alignment horizontal="center"/>
    </xf>
    <xf numFmtId="0" fontId="10" fillId="0" borderId="73" xfId="0" applyFont="1" applyBorder="1" applyAlignment="1">
      <alignment horizontal="center"/>
    </xf>
    <xf numFmtId="0" fontId="10" fillId="0" borderId="17" xfId="0" applyFont="1" applyBorder="1" applyAlignment="1">
      <alignment horizontal="center"/>
    </xf>
    <xf numFmtId="0" fontId="10" fillId="0" borderId="64" xfId="0" applyFont="1" applyBorder="1"/>
    <xf numFmtId="0" fontId="8" fillId="0" borderId="74" xfId="0" applyFont="1" applyBorder="1" applyAlignment="1">
      <alignment horizontal="center" vertical="center"/>
    </xf>
    <xf numFmtId="166" fontId="8" fillId="0" borderId="64" xfId="0" applyNumberFormat="1" applyFont="1" applyBorder="1"/>
    <xf numFmtId="0" fontId="8" fillId="0" borderId="1" xfId="0" applyFont="1" applyBorder="1" applyAlignment="1">
      <alignment horizontal="center" vertical="top" wrapText="1"/>
    </xf>
    <xf numFmtId="164" fontId="8" fillId="0" borderId="0" xfId="0" applyNumberFormat="1" applyFont="1" applyAlignment="1">
      <alignment horizontal="center"/>
    </xf>
    <xf numFmtId="164" fontId="8" fillId="0" borderId="0" xfId="0" applyNumberFormat="1" applyFont="1" applyAlignment="1">
      <alignment horizontal="left"/>
    </xf>
    <xf numFmtId="1" fontId="8" fillId="0" borderId="61" xfId="0" applyNumberFormat="1" applyFont="1" applyBorder="1" applyAlignment="1">
      <alignment horizontal="center"/>
    </xf>
    <xf numFmtId="0" fontId="10"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0" borderId="96" xfId="0" applyFont="1" applyBorder="1" applyAlignment="1">
      <alignment horizontal="center"/>
    </xf>
    <xf numFmtId="164" fontId="8" fillId="0" borderId="0" xfId="0" applyNumberFormat="1" applyFont="1" applyAlignment="1">
      <alignment vertical="center" wrapText="1"/>
    </xf>
    <xf numFmtId="3" fontId="8" fillId="0" borderId="97" xfId="0" applyNumberFormat="1" applyFont="1" applyBorder="1" applyAlignment="1">
      <alignment horizontal="center"/>
    </xf>
    <xf numFmtId="164" fontId="8" fillId="0" borderId="0" xfId="0" applyNumberFormat="1" applyFont="1" applyAlignment="1">
      <alignment vertical="center"/>
    </xf>
    <xf numFmtId="0" fontId="8" fillId="0" borderId="101" xfId="0" applyFont="1" applyBorder="1" applyAlignment="1">
      <alignment wrapText="1"/>
    </xf>
    <xf numFmtId="0" fontId="8" fillId="0" borderId="95" xfId="0" applyFont="1" applyBorder="1" applyAlignment="1">
      <alignment horizontal="center"/>
    </xf>
    <xf numFmtId="0" fontId="8" fillId="0" borderId="0" xfId="0" applyFont="1" applyAlignment="1">
      <alignment horizontal="right" wrapText="1"/>
    </xf>
    <xf numFmtId="43" fontId="8" fillId="0" borderId="0" xfId="0" applyNumberFormat="1" applyFont="1"/>
    <xf numFmtId="15" fontId="10" fillId="0" borderId="0" xfId="0" applyNumberFormat="1" applyFont="1" applyAlignment="1">
      <alignment horizontal="center"/>
    </xf>
    <xf numFmtId="3" fontId="8" fillId="0" borderId="60" xfId="0" applyNumberFormat="1" applyFont="1" applyBorder="1" applyAlignment="1">
      <alignment horizontal="center" vertical="center"/>
    </xf>
    <xf numFmtId="186" fontId="8" fillId="0" borderId="86" xfId="0" applyNumberFormat="1" applyFont="1" applyBorder="1" applyAlignment="1">
      <alignment horizontal="center"/>
    </xf>
    <xf numFmtId="186" fontId="8" fillId="0" borderId="93" xfId="0" applyNumberFormat="1" applyFont="1" applyBorder="1" applyAlignment="1">
      <alignment horizontal="center"/>
    </xf>
    <xf numFmtId="164" fontId="8" fillId="0" borderId="86" xfId="0" applyNumberFormat="1" applyFont="1" applyBorder="1" applyAlignment="1">
      <alignment horizontal="right"/>
    </xf>
    <xf numFmtId="2" fontId="8" fillId="0" borderId="61" xfId="0" applyNumberFormat="1" applyFont="1" applyBorder="1" applyAlignment="1">
      <alignment horizontal="center"/>
    </xf>
    <xf numFmtId="2" fontId="8" fillId="0" borderId="12" xfId="0" applyNumberFormat="1" applyFont="1" applyBorder="1" applyAlignment="1">
      <alignment horizontal="center"/>
    </xf>
    <xf numFmtId="3" fontId="8" fillId="0" borderId="86" xfId="0" applyNumberFormat="1" applyFont="1" applyBorder="1"/>
    <xf numFmtId="0" fontId="10" fillId="0" borderId="86" xfId="0" applyFont="1" applyBorder="1" applyAlignment="1">
      <alignment horizontal="center" vertical="center" wrapText="1"/>
    </xf>
    <xf numFmtId="3" fontId="8" fillId="0" borderId="22" xfId="0" applyNumberFormat="1" applyFont="1" applyBorder="1" applyAlignment="1">
      <alignment vertical="center"/>
    </xf>
    <xf numFmtId="0" fontId="10" fillId="0" borderId="13" xfId="0" applyFont="1" applyBorder="1" applyAlignment="1">
      <alignment horizontal="center" wrapText="1"/>
    </xf>
    <xf numFmtId="3" fontId="8" fillId="0" borderId="13" xfId="0" applyNumberFormat="1" applyFont="1" applyBorder="1" applyAlignment="1">
      <alignment vertical="center"/>
    </xf>
    <xf numFmtId="0" fontId="10" fillId="0" borderId="61" xfId="0" applyFont="1" applyBorder="1" applyAlignment="1">
      <alignment horizontal="right"/>
    </xf>
    <xf numFmtId="0" fontId="8" fillId="0" borderId="60" xfId="0" applyFont="1" applyBorder="1" applyAlignment="1">
      <alignment horizontal="right"/>
    </xf>
    <xf numFmtId="2" fontId="8" fillId="0" borderId="74" xfId="0" applyNumberFormat="1" applyFont="1" applyBorder="1" applyAlignment="1">
      <alignment horizontal="center"/>
    </xf>
    <xf numFmtId="0" fontId="8" fillId="0" borderId="12" xfId="0" applyFont="1" applyBorder="1" applyAlignment="1">
      <alignment horizontal="right"/>
    </xf>
    <xf numFmtId="0" fontId="16" fillId="0" borderId="0" xfId="0" applyFont="1" applyAlignment="1">
      <alignment horizontal="left" vertical="top"/>
    </xf>
    <xf numFmtId="166" fontId="8" fillId="0" borderId="93" xfId="0" applyNumberFormat="1" applyFont="1" applyBorder="1"/>
    <xf numFmtId="3" fontId="8" fillId="0" borderId="62" xfId="0" applyNumberFormat="1" applyFont="1" applyBorder="1" applyAlignment="1">
      <alignment vertical="center"/>
    </xf>
    <xf numFmtId="0" fontId="10" fillId="0" borderId="12" xfId="0" applyFont="1" applyBorder="1" applyAlignment="1">
      <alignment horizontal="center" vertical="center" wrapText="1"/>
    </xf>
    <xf numFmtId="44" fontId="8" fillId="0" borderId="61" xfId="0" applyNumberFormat="1" applyFont="1" applyBorder="1" applyAlignment="1">
      <alignment horizontal="center"/>
    </xf>
    <xf numFmtId="164" fontId="8" fillId="0" borderId="86" xfId="0" applyNumberFormat="1" applyFont="1" applyBorder="1" applyAlignment="1">
      <alignment horizontal="center"/>
    </xf>
    <xf numFmtId="165" fontId="8" fillId="0" borderId="86" xfId="0" applyNumberFormat="1" applyFont="1" applyBorder="1" applyAlignment="1">
      <alignment horizontal="right" vertical="center"/>
    </xf>
    <xf numFmtId="37" fontId="8" fillId="0" borderId="86" xfId="0" applyNumberFormat="1" applyFont="1" applyBorder="1" applyAlignment="1">
      <alignment horizontal="center" vertical="center"/>
    </xf>
    <xf numFmtId="44" fontId="8" fillId="0" borderId="86" xfId="0" applyNumberFormat="1" applyFont="1" applyBorder="1" applyAlignment="1">
      <alignment horizontal="right" vertical="center"/>
    </xf>
    <xf numFmtId="3" fontId="8" fillId="0" borderId="62" xfId="0" applyNumberFormat="1" applyFont="1" applyBorder="1" applyAlignment="1">
      <alignment horizontal="right" vertical="center"/>
    </xf>
    <xf numFmtId="0" fontId="10" fillId="0" borderId="60" xfId="0" applyFont="1" applyBorder="1" applyAlignment="1">
      <alignment horizontal="right"/>
    </xf>
    <xf numFmtId="172" fontId="8" fillId="0" borderId="93" xfId="0" applyNumberFormat="1" applyFont="1" applyBorder="1"/>
    <xf numFmtId="188" fontId="8" fillId="0" borderId="81" xfId="0" applyNumberFormat="1" applyFont="1" applyBorder="1"/>
    <xf numFmtId="0" fontId="8" fillId="0" borderId="66" xfId="0" applyFont="1" applyBorder="1" applyAlignment="1">
      <alignment horizontal="center"/>
    </xf>
    <xf numFmtId="8" fontId="8" fillId="0" borderId="62" xfId="0" applyNumberFormat="1" applyFont="1" applyBorder="1" applyAlignment="1">
      <alignment vertical="center" wrapText="1"/>
    </xf>
    <xf numFmtId="3" fontId="8" fillId="0" borderId="60" xfId="0" applyNumberFormat="1" applyFont="1" applyBorder="1" applyAlignment="1">
      <alignment vertical="center" wrapText="1"/>
    </xf>
    <xf numFmtId="0" fontId="8" fillId="0" borderId="64" xfId="0" applyFont="1" applyBorder="1" applyAlignment="1">
      <alignment horizontal="left"/>
    </xf>
    <xf numFmtId="0" fontId="8" fillId="0" borderId="66" xfId="0" applyFont="1" applyBorder="1"/>
    <xf numFmtId="0" fontId="8" fillId="0" borderId="66" xfId="0" applyFont="1" applyBorder="1" applyAlignment="1">
      <alignment horizontal="center" wrapText="1"/>
    </xf>
    <xf numFmtId="166" fontId="8" fillId="0" borderId="62" xfId="0" applyNumberFormat="1" applyFont="1" applyBorder="1"/>
    <xf numFmtId="0" fontId="8" fillId="0" borderId="67" xfId="0" applyFont="1" applyBorder="1" applyAlignment="1">
      <alignment horizontal="center"/>
    </xf>
    <xf numFmtId="0" fontId="8" fillId="0" borderId="67" xfId="0" applyFont="1" applyBorder="1"/>
    <xf numFmtId="166" fontId="8" fillId="0" borderId="82" xfId="0" applyNumberFormat="1" applyFont="1" applyBorder="1"/>
    <xf numFmtId="3" fontId="8" fillId="0" borderId="60" xfId="0" applyNumberFormat="1" applyFont="1" applyBorder="1"/>
    <xf numFmtId="0" fontId="8" fillId="0" borderId="66" xfId="0" applyFont="1" applyBorder="1" applyAlignment="1">
      <alignment horizontal="left"/>
    </xf>
    <xf numFmtId="0" fontId="8" fillId="0" borderId="66" xfId="0" applyFont="1" applyBorder="1" applyAlignment="1">
      <alignment vertical="top" wrapText="1"/>
    </xf>
    <xf numFmtId="0" fontId="14" fillId="0" borderId="82" xfId="0" applyFont="1" applyBorder="1" applyAlignment="1">
      <alignment horizontal="left" vertical="top" wrapText="1"/>
    </xf>
    <xf numFmtId="0" fontId="14" fillId="0" borderId="67" xfId="0" applyFont="1" applyBorder="1" applyAlignment="1">
      <alignment vertical="top" wrapText="1"/>
    </xf>
    <xf numFmtId="0" fontId="8" fillId="0" borderId="82" xfId="0" applyFont="1" applyBorder="1"/>
    <xf numFmtId="0" fontId="8" fillId="0" borderId="99" xfId="0" applyFont="1" applyBorder="1"/>
    <xf numFmtId="0" fontId="8" fillId="0" borderId="70" xfId="0" applyFont="1" applyBorder="1"/>
    <xf numFmtId="166" fontId="8" fillId="0" borderId="61" xfId="0" applyNumberFormat="1" applyFont="1" applyBorder="1" applyAlignment="1">
      <alignment horizontal="center" vertical="center"/>
    </xf>
    <xf numFmtId="166" fontId="8" fillId="0" borderId="62" xfId="0" applyNumberFormat="1" applyFont="1" applyBorder="1" applyAlignment="1">
      <alignment horizontal="center" vertical="center"/>
    </xf>
    <xf numFmtId="172" fontId="8" fillId="0" borderId="86" xfId="0" applyNumberFormat="1" applyFont="1" applyBorder="1" applyAlignment="1">
      <alignment horizontal="center"/>
    </xf>
    <xf numFmtId="165" fontId="10" fillId="0" borderId="86" xfId="0" applyNumberFormat="1" applyFont="1" applyBorder="1"/>
    <xf numFmtId="44" fontId="8" fillId="0" borderId="61" xfId="0" applyNumberFormat="1" applyFont="1" applyBorder="1"/>
    <xf numFmtId="0" fontId="14" fillId="0" borderId="86" xfId="0" applyFont="1" applyBorder="1" applyAlignment="1">
      <alignment horizontal="center"/>
    </xf>
    <xf numFmtId="0" fontId="14" fillId="0" borderId="61" xfId="0" applyFont="1" applyBorder="1" applyAlignment="1">
      <alignment horizontal="left"/>
    </xf>
    <xf numFmtId="0" fontId="14" fillId="0" borderId="60" xfId="0" applyFont="1" applyBorder="1" applyAlignment="1">
      <alignment horizontal="left"/>
    </xf>
    <xf numFmtId="0" fontId="14" fillId="0" borderId="62" xfId="0" applyFont="1" applyBorder="1" applyAlignment="1">
      <alignment horizontal="left"/>
    </xf>
    <xf numFmtId="44" fontId="8" fillId="0" borderId="101" xfId="0" applyNumberFormat="1" applyFont="1" applyBorder="1"/>
    <xf numFmtId="3" fontId="8" fillId="0" borderId="60" xfId="0" applyNumberFormat="1" applyFont="1" applyBorder="1" applyAlignment="1">
      <alignment horizontal="right" vertical="center"/>
    </xf>
    <xf numFmtId="3" fontId="8" fillId="0" borderId="60" xfId="0" applyNumberFormat="1" applyFont="1" applyBorder="1" applyAlignment="1">
      <alignment horizontal="right" vertical="center" wrapText="1"/>
    </xf>
    <xf numFmtId="0" fontId="8" fillId="0" borderId="81" xfId="0" applyFont="1" applyBorder="1" applyAlignment="1">
      <alignment horizontal="center" vertical="center"/>
    </xf>
    <xf numFmtId="0" fontId="10" fillId="0" borderId="81" xfId="0" applyFont="1" applyBorder="1" applyAlignment="1">
      <alignment horizontal="right"/>
    </xf>
    <xf numFmtId="0" fontId="14" fillId="0" borderId="60" xfId="0" applyFont="1" applyBorder="1"/>
    <xf numFmtId="8" fontId="8" fillId="0" borderId="0" xfId="0" applyNumberFormat="1" applyFont="1" applyAlignment="1">
      <alignment horizontal="left"/>
    </xf>
    <xf numFmtId="0" fontId="14" fillId="0" borderId="86" xfId="0" applyFont="1" applyBorder="1"/>
    <xf numFmtId="7" fontId="8" fillId="0" borderId="61" xfId="0" applyNumberFormat="1" applyFont="1" applyBorder="1"/>
    <xf numFmtId="0" fontId="14" fillId="0" borderId="86" xfId="0" applyFont="1" applyBorder="1" applyAlignment="1">
      <alignment horizontal="left"/>
    </xf>
    <xf numFmtId="166" fontId="8" fillId="0" borderId="97" xfId="0" applyNumberFormat="1" applyFont="1" applyBorder="1" applyAlignment="1">
      <alignment horizontal="right"/>
    </xf>
    <xf numFmtId="166" fontId="8" fillId="0" borderId="99" xfId="0" applyNumberFormat="1" applyFont="1" applyBorder="1" applyAlignment="1">
      <alignment horizontal="right"/>
    </xf>
    <xf numFmtId="165" fontId="8" fillId="0" borderId="60" xfId="0" applyNumberFormat="1" applyFont="1" applyBorder="1" applyAlignment="1">
      <alignment horizontal="left" vertical="center" wrapText="1"/>
    </xf>
    <xf numFmtId="166" fontId="8" fillId="0" borderId="61" xfId="0" applyNumberFormat="1" applyFont="1" applyBorder="1" applyAlignment="1">
      <alignment vertical="center"/>
    </xf>
    <xf numFmtId="166" fontId="8" fillId="0" borderId="60" xfId="0" applyNumberFormat="1" applyFont="1" applyBorder="1" applyAlignment="1">
      <alignment horizontal="center"/>
    </xf>
    <xf numFmtId="2" fontId="8" fillId="0" borderId="86" xfId="0" applyNumberFormat="1" applyFont="1" applyBorder="1" applyAlignment="1">
      <alignment horizontal="center" wrapText="1"/>
    </xf>
    <xf numFmtId="0" fontId="8" fillId="0" borderId="83" xfId="0" applyFont="1" applyBorder="1" applyAlignment="1">
      <alignment horizontal="center" vertical="center" wrapText="1"/>
    </xf>
    <xf numFmtId="164" fontId="8" fillId="0" borderId="81" xfId="0" applyNumberFormat="1" applyFont="1" applyBorder="1" applyAlignment="1">
      <alignment horizontal="left" wrapText="1"/>
    </xf>
    <xf numFmtId="8" fontId="8" fillId="0" borderId="81" xfId="0" applyNumberFormat="1" applyFont="1" applyBorder="1" applyAlignment="1">
      <alignment wrapText="1"/>
    </xf>
    <xf numFmtId="0" fontId="8" fillId="0" borderId="81" xfId="0" applyFont="1" applyBorder="1" applyAlignment="1">
      <alignment horizontal="center" wrapText="1"/>
    </xf>
    <xf numFmtId="165" fontId="10" fillId="0" borderId="86" xfId="0" applyNumberFormat="1" applyFont="1" applyBorder="1" applyAlignment="1">
      <alignment horizontal="right"/>
    </xf>
    <xf numFmtId="0" fontId="12" fillId="0" borderId="0" xfId="0" applyFont="1" applyAlignment="1">
      <alignment vertical="center"/>
    </xf>
    <xf numFmtId="0" fontId="72" fillId="0" borderId="0" xfId="0" applyFont="1" applyAlignment="1">
      <alignment vertical="center"/>
    </xf>
    <xf numFmtId="2" fontId="8" fillId="0" borderId="86" xfId="0" applyNumberFormat="1" applyFont="1" applyBorder="1" applyAlignment="1">
      <alignment horizontal="center" vertical="center" wrapText="1"/>
    </xf>
    <xf numFmtId="8" fontId="8" fillId="0" borderId="86" xfId="0" applyNumberFormat="1" applyFont="1" applyBorder="1" applyAlignment="1">
      <alignment horizontal="right" vertical="center" wrapText="1"/>
    </xf>
    <xf numFmtId="0" fontId="8" fillId="0" borderId="86" xfId="0" applyFont="1" applyBorder="1" applyAlignment="1">
      <alignment horizontal="right" vertical="center" wrapText="1"/>
    </xf>
    <xf numFmtId="0" fontId="8" fillId="0" borderId="86" xfId="0" applyFont="1" applyBorder="1" applyAlignment="1">
      <alignment horizontal="right" vertical="center"/>
    </xf>
    <xf numFmtId="8" fontId="8" fillId="0" borderId="97" xfId="0" applyNumberFormat="1" applyFont="1" applyBorder="1" applyAlignment="1">
      <alignment horizontal="right" vertical="center" wrapText="1"/>
    </xf>
    <xf numFmtId="2" fontId="8" fillId="0" borderId="93" xfId="0" applyNumberFormat="1" applyFont="1" applyBorder="1" applyAlignment="1">
      <alignment horizontal="center" vertical="center" wrapText="1"/>
    </xf>
    <xf numFmtId="166" fontId="8" fillId="0" borderId="93" xfId="0" applyNumberFormat="1" applyFont="1" applyBorder="1" applyAlignment="1">
      <alignment horizontal="center" vertical="center" wrapText="1"/>
    </xf>
    <xf numFmtId="8" fontId="8" fillId="0" borderId="61" xfId="0" applyNumberFormat="1" applyFont="1" applyBorder="1" applyAlignment="1">
      <alignment vertical="center" wrapText="1"/>
    </xf>
    <xf numFmtId="0" fontId="72" fillId="0" borderId="81" xfId="0" applyFont="1" applyBorder="1" applyAlignment="1">
      <alignment horizontal="center" vertical="center" wrapText="1"/>
    </xf>
    <xf numFmtId="8" fontId="73" fillId="0" borderId="67" xfId="0" applyNumberFormat="1" applyFont="1" applyBorder="1" applyAlignment="1">
      <alignment horizontal="center" vertical="center"/>
    </xf>
    <xf numFmtId="0" fontId="72" fillId="0" borderId="68" xfId="0" applyFont="1" applyBorder="1" applyAlignment="1">
      <alignment horizontal="center" vertical="center" wrapText="1"/>
    </xf>
    <xf numFmtId="8" fontId="12" fillId="0" borderId="93" xfId="0" applyNumberFormat="1" applyFont="1" applyBorder="1" applyAlignment="1">
      <alignment horizontal="center" vertical="center"/>
    </xf>
    <xf numFmtId="8" fontId="12" fillId="0" borderId="93" xfId="0" applyNumberFormat="1" applyFont="1" applyBorder="1" applyAlignment="1">
      <alignment horizontal="center" vertical="center" wrapText="1"/>
    </xf>
    <xf numFmtId="0" fontId="8" fillId="0" borderId="12" xfId="0" applyFont="1" applyBorder="1" applyAlignment="1">
      <alignment horizontal="center" wrapText="1"/>
    </xf>
    <xf numFmtId="0" fontId="10" fillId="0" borderId="100" xfId="0" applyFont="1" applyBorder="1" applyAlignment="1">
      <alignment horizontal="center"/>
    </xf>
    <xf numFmtId="0" fontId="10" fillId="0" borderId="82" xfId="0" applyFont="1" applyBorder="1" applyAlignment="1">
      <alignment horizontal="center"/>
    </xf>
    <xf numFmtId="164" fontId="8" fillId="0" borderId="83" xfId="0" applyNumberFormat="1" applyFont="1" applyBorder="1" applyAlignment="1">
      <alignment horizontal="right" wrapText="1"/>
    </xf>
    <xf numFmtId="3" fontId="8" fillId="0" borderId="86" xfId="0" applyNumberFormat="1" applyFont="1" applyBorder="1" applyAlignment="1">
      <alignment horizontal="center" wrapText="1"/>
    </xf>
    <xf numFmtId="3" fontId="8" fillId="0" borderId="83" xfId="0" applyNumberFormat="1" applyFont="1" applyBorder="1" applyAlignment="1">
      <alignment horizontal="center" wrapText="1"/>
    </xf>
    <xf numFmtId="164" fontId="8" fillId="0" borderId="61" xfId="0" applyNumberFormat="1" applyFont="1" applyBorder="1" applyAlignment="1">
      <alignment horizontal="right"/>
    </xf>
    <xf numFmtId="164" fontId="8" fillId="0" borderId="100" xfId="0" applyNumberFormat="1" applyFont="1" applyBorder="1" applyAlignment="1">
      <alignment horizontal="right" wrapText="1"/>
    </xf>
    <xf numFmtId="3" fontId="8" fillId="0" borderId="93" xfId="0" applyNumberFormat="1" applyFont="1" applyBorder="1" applyAlignment="1">
      <alignment horizontal="center" wrapText="1"/>
    </xf>
    <xf numFmtId="3" fontId="8" fillId="0" borderId="100" xfId="0" applyNumberFormat="1" applyFont="1" applyBorder="1" applyAlignment="1">
      <alignment horizontal="center" wrapText="1"/>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8" fillId="0" borderId="14" xfId="0" applyFont="1" applyBorder="1" applyAlignment="1">
      <alignment vertical="center"/>
    </xf>
    <xf numFmtId="0" fontId="8" fillId="0" borderId="14" xfId="0" applyFont="1" applyBorder="1" applyAlignment="1">
      <alignment horizontal="center" vertical="center" wrapText="1"/>
    </xf>
    <xf numFmtId="0" fontId="8" fillId="0" borderId="93" xfId="0" applyFont="1" applyBorder="1" applyAlignment="1">
      <alignment horizontal="right"/>
    </xf>
    <xf numFmtId="0" fontId="8" fillId="0" borderId="87" xfId="0" applyFont="1" applyBorder="1" applyAlignment="1">
      <alignment horizontal="center" vertical="center"/>
    </xf>
    <xf numFmtId="0" fontId="8" fillId="0" borderId="5" xfId="0" applyFont="1" applyBorder="1" applyAlignment="1">
      <alignment vertical="center" wrapText="1"/>
    </xf>
    <xf numFmtId="165" fontId="8" fillId="0" borderId="5" xfId="0" applyNumberFormat="1" applyFont="1" applyBorder="1" applyAlignment="1">
      <alignment vertical="center" wrapText="1"/>
    </xf>
    <xf numFmtId="0" fontId="8" fillId="0" borderId="5" xfId="0" applyFont="1" applyBorder="1"/>
    <xf numFmtId="0" fontId="10" fillId="0" borderId="5" xfId="0" applyFont="1" applyBorder="1" applyAlignment="1">
      <alignment horizontal="center"/>
    </xf>
    <xf numFmtId="0" fontId="8" fillId="0" borderId="6" xfId="0" applyFont="1" applyBorder="1" applyAlignment="1">
      <alignment horizontal="center" vertical="center"/>
    </xf>
    <xf numFmtId="164" fontId="8" fillId="0" borderId="86" xfId="0" applyNumberFormat="1" applyFont="1" applyBorder="1" applyAlignment="1">
      <alignment vertical="center"/>
    </xf>
    <xf numFmtId="8" fontId="8" fillId="0" borderId="62" xfId="0" applyNumberFormat="1" applyFont="1" applyBorder="1" applyAlignment="1">
      <alignment horizontal="right" vertical="center" wrapText="1"/>
    </xf>
    <xf numFmtId="3" fontId="8" fillId="0" borderId="22" xfId="0" applyNumberFormat="1" applyFont="1" applyBorder="1" applyAlignment="1">
      <alignment horizontal="center" vertical="center"/>
    </xf>
    <xf numFmtId="44" fontId="8" fillId="0" borderId="86" xfId="0" applyNumberFormat="1" applyFont="1" applyBorder="1"/>
    <xf numFmtId="17" fontId="8" fillId="0" borderId="86" xfId="0" quotePrefix="1" applyNumberFormat="1" applyFont="1" applyBorder="1" applyAlignment="1">
      <alignment horizontal="center"/>
    </xf>
    <xf numFmtId="44" fontId="8" fillId="0" borderId="0" xfId="0" applyNumberFormat="1" applyFont="1" applyAlignment="1">
      <alignment horizontal="left" vertical="center" wrapText="1"/>
    </xf>
    <xf numFmtId="17" fontId="8" fillId="0" borderId="64" xfId="0" quotePrefix="1" applyNumberFormat="1" applyFont="1" applyBorder="1" applyAlignment="1">
      <alignment horizontal="center"/>
    </xf>
    <xf numFmtId="0" fontId="8" fillId="0" borderId="81" xfId="0" applyFont="1" applyBorder="1" applyAlignment="1">
      <alignment horizontal="left"/>
    </xf>
    <xf numFmtId="17" fontId="8" fillId="0" borderId="93" xfId="0" quotePrefix="1" applyNumberFormat="1" applyFont="1" applyBorder="1" applyAlignment="1">
      <alignment horizontal="center"/>
    </xf>
    <xf numFmtId="0" fontId="8" fillId="0" borderId="98" xfId="0" applyFont="1" applyBorder="1" applyAlignment="1">
      <alignment horizontal="center"/>
    </xf>
    <xf numFmtId="166" fontId="8" fillId="0" borderId="0" xfId="0" applyNumberFormat="1" applyFont="1" applyAlignment="1">
      <alignment horizontal="center" wrapText="1"/>
    </xf>
    <xf numFmtId="44" fontId="8" fillId="0" borderId="0" xfId="0" applyNumberFormat="1" applyFont="1" applyAlignment="1">
      <alignment horizontal="left" wrapText="1"/>
    </xf>
    <xf numFmtId="8" fontId="8" fillId="0" borderId="0" xfId="0" applyNumberFormat="1" applyFont="1" applyAlignment="1">
      <alignment wrapText="1"/>
    </xf>
    <xf numFmtId="44" fontId="8" fillId="0" borderId="62" xfId="0" applyNumberFormat="1" applyFont="1" applyBorder="1" applyAlignment="1">
      <alignment horizontal="right"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9" fontId="8" fillId="0" borderId="86" xfId="0" applyNumberFormat="1" applyFont="1" applyBorder="1" applyAlignment="1">
      <alignment horizontal="center"/>
    </xf>
    <xf numFmtId="0" fontId="10" fillId="0" borderId="73" xfId="0" applyFont="1" applyBorder="1" applyAlignment="1">
      <alignment horizontal="center" wrapText="1"/>
    </xf>
    <xf numFmtId="44" fontId="8" fillId="0" borderId="86" xfId="2" applyFont="1" applyFill="1" applyBorder="1" applyAlignment="1">
      <alignment vertical="center" wrapText="1"/>
    </xf>
    <xf numFmtId="44" fontId="8" fillId="0" borderId="86" xfId="0" applyNumberFormat="1" applyFont="1" applyBorder="1" applyAlignment="1">
      <alignment vertical="center" wrapText="1"/>
    </xf>
    <xf numFmtId="166" fontId="8" fillId="0" borderId="60" xfId="0" applyNumberFormat="1" applyFont="1" applyBorder="1" applyAlignment="1">
      <alignment horizontal="center" vertical="center"/>
    </xf>
    <xf numFmtId="1" fontId="8" fillId="0" borderId="12" xfId="0" applyNumberFormat="1" applyFont="1" applyBorder="1" applyAlignment="1">
      <alignment horizontal="center"/>
    </xf>
    <xf numFmtId="0" fontId="8" fillId="0" borderId="1" xfId="0" applyFont="1" applyBorder="1" applyAlignment="1">
      <alignment vertical="center"/>
    </xf>
    <xf numFmtId="165" fontId="8" fillId="0" borderId="83" xfId="0" applyNumberFormat="1" applyFont="1" applyBorder="1" applyAlignment="1">
      <alignment horizontal="center"/>
    </xf>
    <xf numFmtId="165" fontId="8" fillId="0" borderId="81" xfId="0" applyNumberFormat="1" applyFont="1" applyBorder="1" applyAlignment="1">
      <alignment horizontal="center"/>
    </xf>
    <xf numFmtId="165" fontId="8" fillId="0" borderId="82" xfId="0" applyNumberFormat="1" applyFont="1" applyBorder="1" applyAlignment="1">
      <alignment horizontal="center"/>
    </xf>
    <xf numFmtId="165" fontId="8" fillId="0" borderId="89" xfId="0" applyNumberFormat="1" applyFont="1" applyBorder="1" applyAlignment="1">
      <alignment horizontal="center"/>
    </xf>
    <xf numFmtId="165" fontId="8" fillId="0" borderId="90" xfId="0" applyNumberFormat="1" applyFont="1" applyBorder="1" applyAlignment="1">
      <alignment horizontal="center"/>
    </xf>
    <xf numFmtId="165" fontId="8" fillId="0" borderId="91" xfId="0" applyNumberFormat="1" applyFont="1" applyBorder="1" applyAlignment="1">
      <alignment horizontal="center"/>
    </xf>
    <xf numFmtId="49" fontId="8" fillId="0" borderId="86" xfId="0" applyNumberFormat="1" applyFont="1" applyBorder="1" applyAlignment="1">
      <alignment horizontal="center"/>
    </xf>
    <xf numFmtId="0" fontId="10" fillId="0" borderId="0" xfId="0" applyFont="1" applyAlignment="1">
      <alignment horizontal="right" vertical="center"/>
    </xf>
    <xf numFmtId="165" fontId="8" fillId="0" borderId="97" xfId="0" applyNumberFormat="1" applyFont="1" applyBorder="1" applyAlignment="1">
      <alignment vertical="center"/>
    </xf>
    <xf numFmtId="0" fontId="8" fillId="0" borderId="84" xfId="0" applyFont="1" applyBorder="1" applyAlignment="1">
      <alignment horizontal="center" vertical="center"/>
    </xf>
    <xf numFmtId="169" fontId="8" fillId="0" borderId="12" xfId="0" applyNumberFormat="1" applyFont="1" applyBorder="1" applyAlignment="1">
      <alignment vertical="center"/>
    </xf>
    <xf numFmtId="0" fontId="8" fillId="0" borderId="86" xfId="0" quotePrefix="1" applyFont="1" applyBorder="1" applyAlignment="1">
      <alignment horizontal="center"/>
    </xf>
    <xf numFmtId="0" fontId="8" fillId="0" borderId="97" xfId="0" applyFont="1" applyBorder="1" applyAlignment="1">
      <alignment horizontal="left"/>
    </xf>
    <xf numFmtId="0" fontId="8" fillId="0" borderId="98" xfId="0" applyFont="1" applyBorder="1" applyAlignment="1">
      <alignment horizontal="left"/>
    </xf>
    <xf numFmtId="0" fontId="8" fillId="0" borderId="81" xfId="0" applyFont="1" applyBorder="1" applyAlignment="1">
      <alignment vertical="center" wrapText="1"/>
    </xf>
    <xf numFmtId="165" fontId="8" fillId="0" borderId="81" xfId="0" applyNumberFormat="1" applyFont="1" applyBorder="1" applyAlignment="1">
      <alignment vertical="center" wrapText="1"/>
    </xf>
    <xf numFmtId="0" fontId="8" fillId="0" borderId="82" xfId="0" applyFont="1" applyBorder="1" applyAlignment="1">
      <alignment vertical="center" wrapText="1"/>
    </xf>
    <xf numFmtId="166" fontId="8" fillId="0" borderId="7" xfId="0" applyNumberFormat="1" applyFont="1" applyBorder="1" applyAlignment="1">
      <alignment horizontal="center"/>
    </xf>
    <xf numFmtId="3" fontId="8" fillId="0" borderId="0" xfId="0" applyNumberFormat="1" applyFont="1" applyAlignment="1">
      <alignment vertical="center" wrapText="1"/>
    </xf>
    <xf numFmtId="0" fontId="10" fillId="0" borderId="7" xfId="0" applyFont="1" applyBorder="1" applyAlignment="1">
      <alignment horizontal="center" wrapText="1"/>
    </xf>
    <xf numFmtId="44" fontId="8" fillId="0" borderId="12" xfId="0" applyNumberFormat="1" applyFont="1" applyBorder="1" applyAlignment="1">
      <alignment horizontal="center"/>
    </xf>
    <xf numFmtId="43" fontId="8" fillId="0" borderId="93" xfId="0" applyNumberFormat="1" applyFont="1" applyBorder="1"/>
    <xf numFmtId="3" fontId="8" fillId="0" borderId="1" xfId="0" applyNumberFormat="1" applyFont="1" applyBorder="1" applyAlignment="1">
      <alignment horizontal="right" vertical="center"/>
    </xf>
    <xf numFmtId="2" fontId="8" fillId="0" borderId="93" xfId="2" applyNumberFormat="1" applyFont="1" applyFill="1" applyBorder="1" applyAlignment="1">
      <alignment horizontal="center" vertical="center"/>
    </xf>
    <xf numFmtId="0" fontId="67" fillId="0" borderId="61" xfId="0" applyFont="1" applyBorder="1" applyAlignment="1">
      <alignment horizontal="center" vertical="center"/>
    </xf>
    <xf numFmtId="0" fontId="67" fillId="0" borderId="62"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165" fontId="12" fillId="0" borderId="60" xfId="0" applyNumberFormat="1" applyFont="1" applyBorder="1" applyAlignment="1">
      <alignment vertical="center"/>
    </xf>
    <xf numFmtId="0" fontId="67" fillId="0" borderId="86" xfId="0" applyFont="1" applyBorder="1" applyAlignment="1">
      <alignment horizontal="center"/>
    </xf>
    <xf numFmtId="0" fontId="67" fillId="0" borderId="7" xfId="0" applyFont="1" applyBorder="1" applyAlignment="1">
      <alignment horizontal="center"/>
    </xf>
    <xf numFmtId="16" fontId="12" fillId="0" borderId="86" xfId="0" quotePrefix="1" applyNumberFormat="1" applyFont="1" applyBorder="1" applyAlignment="1">
      <alignment horizontal="center"/>
    </xf>
    <xf numFmtId="44" fontId="12" fillId="0" borderId="86" xfId="0" applyNumberFormat="1"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86" xfId="0" applyFont="1" applyBorder="1" applyAlignment="1">
      <alignment horizontal="center"/>
    </xf>
    <xf numFmtId="17" fontId="12" fillId="0" borderId="86" xfId="0" quotePrefix="1" applyNumberFormat="1" applyFont="1" applyBorder="1" applyAlignment="1">
      <alignment horizontal="center"/>
    </xf>
    <xf numFmtId="166" fontId="12" fillId="0" borderId="86" xfId="0" applyNumberFormat="1" applyFont="1" applyBorder="1" applyAlignment="1">
      <alignment horizontal="center"/>
    </xf>
    <xf numFmtId="0" fontId="8" fillId="0" borderId="93" xfId="0" applyFont="1" applyBorder="1" applyAlignment="1">
      <alignment horizontal="left"/>
    </xf>
    <xf numFmtId="44" fontId="12" fillId="0" borderId="93" xfId="0" applyNumberFormat="1" applyFont="1" applyBorder="1" applyAlignment="1">
      <alignment horizontal="center"/>
    </xf>
    <xf numFmtId="0" fontId="12" fillId="0" borderId="93" xfId="0" applyFont="1" applyBorder="1" applyAlignment="1">
      <alignment horizontal="center"/>
    </xf>
    <xf numFmtId="0" fontId="12" fillId="0" borderId="93" xfId="0" quotePrefix="1" applyFont="1" applyBorder="1" applyAlignment="1">
      <alignment horizontal="center"/>
    </xf>
    <xf numFmtId="0" fontId="12" fillId="0" borderId="86" xfId="0" applyFont="1" applyBorder="1"/>
    <xf numFmtId="44" fontId="12" fillId="0" borderId="86" xfId="0" applyNumberFormat="1" applyFont="1" applyBorder="1"/>
    <xf numFmtId="172" fontId="8" fillId="0" borderId="93" xfId="0" applyNumberFormat="1" applyFont="1" applyBorder="1" applyAlignment="1">
      <alignment horizontal="center"/>
    </xf>
    <xf numFmtId="0" fontId="12" fillId="0" borderId="62" xfId="0" applyFont="1" applyBorder="1" applyAlignment="1">
      <alignment vertical="center"/>
    </xf>
    <xf numFmtId="165" fontId="12" fillId="0" borderId="60" xfId="0" applyNumberFormat="1" applyFont="1" applyBorder="1" applyAlignment="1">
      <alignment horizontal="right" vertical="center"/>
    </xf>
    <xf numFmtId="0" fontId="67" fillId="0" borderId="86" xfId="0" applyFont="1" applyBorder="1" applyAlignment="1">
      <alignment horizontal="center" wrapText="1"/>
    </xf>
    <xf numFmtId="43" fontId="8" fillId="0" borderId="93" xfId="0" applyNumberFormat="1" applyFont="1" applyBorder="1" applyAlignment="1">
      <alignment horizontal="center"/>
    </xf>
    <xf numFmtId="0" fontId="8" fillId="0" borderId="93" xfId="0" quotePrefix="1" applyFont="1" applyBorder="1" applyAlignment="1">
      <alignment horizontal="center"/>
    </xf>
    <xf numFmtId="6" fontId="8" fillId="0" borderId="7" xfId="0" applyNumberFormat="1" applyFont="1" applyBorder="1" applyAlignment="1">
      <alignment horizontal="center"/>
    </xf>
    <xf numFmtId="179" fontId="8" fillId="0" borderId="86" xfId="0" applyNumberFormat="1" applyFont="1" applyBorder="1" applyAlignment="1">
      <alignment horizontal="center"/>
    </xf>
    <xf numFmtId="0" fontId="8" fillId="0" borderId="73" xfId="0" applyFont="1" applyBorder="1" applyAlignment="1">
      <alignment horizontal="center"/>
    </xf>
    <xf numFmtId="0" fontId="8" fillId="0" borderId="17" xfId="0" applyFont="1" applyBorder="1" applyAlignment="1">
      <alignment horizontal="center"/>
    </xf>
    <xf numFmtId="0" fontId="67" fillId="0" borderId="86" xfId="0" applyFont="1" applyBorder="1" applyAlignment="1">
      <alignment horizontal="right"/>
    </xf>
    <xf numFmtId="0" fontId="4" fillId="0" borderId="61" xfId="0" applyFont="1" applyBorder="1" applyAlignment="1">
      <alignment horizontal="center" vertical="center"/>
    </xf>
    <xf numFmtId="0" fontId="4" fillId="0" borderId="62" xfId="0" applyFont="1" applyBorder="1" applyAlignment="1">
      <alignment horizontal="center" vertical="center"/>
    </xf>
    <xf numFmtId="16" fontId="8" fillId="0" borderId="64" xfId="0" quotePrefix="1" applyNumberFormat="1" applyFont="1" applyBorder="1" applyAlignment="1">
      <alignment horizontal="center"/>
    </xf>
    <xf numFmtId="0" fontId="8" fillId="0" borderId="73" xfId="0" applyFont="1" applyBorder="1"/>
    <xf numFmtId="165" fontId="8" fillId="0" borderId="86" xfId="0" applyNumberFormat="1" applyFont="1" applyBorder="1" applyAlignment="1">
      <alignment vertical="center" wrapText="1"/>
    </xf>
    <xf numFmtId="44" fontId="12" fillId="0" borderId="7" xfId="0" applyNumberFormat="1" applyFont="1" applyBorder="1" applyAlignment="1">
      <alignment horizontal="center"/>
    </xf>
    <xf numFmtId="165" fontId="12" fillId="0" borderId="12" xfId="0" applyNumberFormat="1" applyFont="1" applyBorder="1"/>
    <xf numFmtId="0" fontId="12" fillId="0" borderId="61" xfId="0" applyFont="1" applyBorder="1" applyAlignment="1">
      <alignment horizontal="center"/>
    </xf>
    <xf numFmtId="0" fontId="12" fillId="0" borderId="62" xfId="0" applyFont="1" applyBorder="1" applyAlignment="1">
      <alignment horizontal="center"/>
    </xf>
    <xf numFmtId="16" fontId="12" fillId="0" borderId="86" xfId="0" applyNumberFormat="1" applyFont="1" applyBorder="1" applyAlignment="1">
      <alignment horizontal="center"/>
    </xf>
    <xf numFmtId="166" fontId="8" fillId="0" borderId="82" xfId="0" applyNumberFormat="1" applyFont="1" applyBorder="1" applyAlignment="1">
      <alignment horizontal="center"/>
    </xf>
    <xf numFmtId="16" fontId="8" fillId="0" borderId="61" xfId="0" quotePrefix="1" applyNumberFormat="1" applyFont="1" applyBorder="1" applyAlignment="1">
      <alignment horizontal="center"/>
    </xf>
    <xf numFmtId="0" fontId="10" fillId="0" borderId="12" xfId="0" applyFont="1" applyBorder="1" applyAlignment="1">
      <alignment horizontal="center" wrapText="1"/>
    </xf>
    <xf numFmtId="0" fontId="29" fillId="0" borderId="86" xfId="0" applyFont="1" applyBorder="1" applyAlignment="1">
      <alignment horizontal="center" wrapText="1"/>
    </xf>
    <xf numFmtId="7" fontId="8" fillId="0" borderId="7" xfId="0" applyNumberFormat="1" applyFont="1" applyBorder="1" applyAlignment="1">
      <alignment horizontal="center"/>
    </xf>
    <xf numFmtId="44" fontId="8" fillId="0" borderId="74" xfId="0" applyNumberFormat="1" applyFont="1" applyBorder="1" applyAlignment="1">
      <alignment horizontal="center"/>
    </xf>
    <xf numFmtId="16" fontId="8" fillId="0" borderId="7" xfId="0" quotePrefix="1" applyNumberFormat="1" applyFont="1" applyBorder="1" applyAlignment="1">
      <alignment horizontal="center"/>
    </xf>
    <xf numFmtId="0" fontId="8" fillId="0" borderId="61" xfId="0" applyFont="1" applyBorder="1" applyAlignment="1">
      <alignment horizontal="center" vertical="top" wrapText="1"/>
    </xf>
    <xf numFmtId="0" fontId="8" fillId="0" borderId="62" xfId="0" applyFont="1" applyBorder="1" applyAlignment="1">
      <alignment horizontal="center"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3" fontId="8" fillId="0" borderId="62" xfId="0" applyNumberFormat="1" applyFont="1" applyBorder="1" applyAlignment="1">
      <alignment horizontal="center" vertical="center" wrapText="1"/>
    </xf>
    <xf numFmtId="2" fontId="8" fillId="0" borderId="64" xfId="2" applyNumberFormat="1" applyFont="1" applyFill="1" applyBorder="1" applyAlignment="1">
      <alignment horizontal="center"/>
    </xf>
    <xf numFmtId="16" fontId="8" fillId="0" borderId="66" xfId="0" quotePrefix="1" applyNumberFormat="1" applyFont="1" applyBorder="1" applyAlignment="1">
      <alignment horizontal="center"/>
    </xf>
    <xf numFmtId="166" fontId="8" fillId="0" borderId="66" xfId="0" applyNumberFormat="1" applyFont="1" applyBorder="1"/>
    <xf numFmtId="166" fontId="8" fillId="0" borderId="67" xfId="0" applyNumberFormat="1" applyFont="1" applyBorder="1"/>
    <xf numFmtId="44" fontId="8" fillId="0" borderId="67" xfId="0" applyNumberFormat="1" applyFont="1" applyBorder="1"/>
    <xf numFmtId="172" fontId="8" fillId="0" borderId="86" xfId="0" applyNumberFormat="1" applyFont="1" applyBorder="1" applyAlignment="1">
      <alignment horizontal="center" wrapText="1"/>
    </xf>
    <xf numFmtId="8" fontId="8" fillId="0" borderId="61" xfId="0" applyNumberFormat="1" applyFont="1" applyBorder="1" applyAlignment="1">
      <alignment wrapText="1"/>
    </xf>
    <xf numFmtId="172" fontId="8" fillId="0" borderId="61" xfId="0" applyNumberFormat="1" applyFont="1" applyBorder="1" applyAlignment="1">
      <alignment horizontal="center"/>
    </xf>
    <xf numFmtId="17" fontId="8" fillId="0" borderId="61" xfId="0" quotePrefix="1" applyNumberFormat="1" applyFont="1" applyBorder="1" applyAlignment="1">
      <alignment horizontal="center"/>
    </xf>
    <xf numFmtId="17" fontId="8" fillId="0" borderId="83" xfId="0" quotePrefix="1" applyNumberFormat="1" applyFont="1" applyBorder="1" applyAlignment="1">
      <alignment horizontal="center"/>
    </xf>
    <xf numFmtId="0" fontId="8" fillId="0" borderId="67" xfId="0" applyFont="1" applyBorder="1" applyAlignment="1">
      <alignment horizontal="left"/>
    </xf>
    <xf numFmtId="2" fontId="8" fillId="0" borderId="66" xfId="0" applyNumberFormat="1" applyFont="1" applyBorder="1" applyAlignment="1">
      <alignment horizontal="center"/>
    </xf>
    <xf numFmtId="44" fontId="8" fillId="0" borderId="66" xfId="0" applyNumberFormat="1" applyFont="1" applyBorder="1" applyAlignment="1">
      <alignment horizontal="center"/>
    </xf>
    <xf numFmtId="0" fontId="8" fillId="0" borderId="69" xfId="0" applyFont="1" applyBorder="1" applyAlignment="1">
      <alignment horizontal="left"/>
    </xf>
    <xf numFmtId="2" fontId="76" fillId="0" borderId="93" xfId="0" applyNumberFormat="1" applyFont="1" applyBorder="1" applyAlignment="1">
      <alignment horizontal="center"/>
    </xf>
    <xf numFmtId="44" fontId="0" fillId="0" borderId="0" xfId="2" applyFont="1" applyFill="1"/>
    <xf numFmtId="168" fontId="0" fillId="0" borderId="0" xfId="1" applyNumberFormat="1" applyFont="1" applyFill="1" applyAlignment="1">
      <alignment vertical="center"/>
    </xf>
    <xf numFmtId="0" fontId="0" fillId="0" borderId="86" xfId="0" applyBorder="1"/>
    <xf numFmtId="44" fontId="0" fillId="0" borderId="86" xfId="0" applyNumberFormat="1" applyBorder="1"/>
    <xf numFmtId="44" fontId="0" fillId="0" borderId="93" xfId="0" applyNumberFormat="1" applyBorder="1"/>
    <xf numFmtId="0" fontId="8" fillId="0" borderId="101" xfId="0" applyFont="1" applyBorder="1" applyAlignment="1">
      <alignment horizontal="left" vertical="top" wrapText="1"/>
    </xf>
    <xf numFmtId="0" fontId="8" fillId="0" borderId="99" xfId="0" applyFont="1" applyBorder="1" applyAlignment="1">
      <alignment vertical="center"/>
    </xf>
    <xf numFmtId="4" fontId="8" fillId="0" borderId="93" xfId="0" applyNumberFormat="1" applyFont="1" applyBorder="1" applyAlignment="1">
      <alignment wrapText="1"/>
    </xf>
    <xf numFmtId="164" fontId="8" fillId="0" borderId="93" xfId="0" applyNumberFormat="1" applyFont="1" applyBorder="1" applyAlignment="1">
      <alignment wrapText="1"/>
    </xf>
    <xf numFmtId="164" fontId="8" fillId="0" borderId="93" xfId="0" applyNumberFormat="1" applyFont="1" applyBorder="1"/>
    <xf numFmtId="164" fontId="10" fillId="0" borderId="93" xfId="0" applyNumberFormat="1" applyFont="1" applyBorder="1" applyAlignment="1">
      <alignment horizontal="right"/>
    </xf>
    <xf numFmtId="164" fontId="8" fillId="0" borderId="0" xfId="0" applyNumberFormat="1" applyFont="1" applyAlignment="1">
      <alignment horizontal="right" vertical="center"/>
    </xf>
    <xf numFmtId="0" fontId="8" fillId="0" borderId="0" xfId="0" applyFont="1" applyAlignment="1">
      <alignment horizontal="right" vertical="center"/>
    </xf>
    <xf numFmtId="0" fontId="10" fillId="0" borderId="93" xfId="0" applyFont="1" applyBorder="1" applyAlignment="1">
      <alignment horizontal="right"/>
    </xf>
    <xf numFmtId="0" fontId="8" fillId="0" borderId="73" xfId="0" applyFont="1" applyBorder="1" applyAlignment="1">
      <alignment vertical="top" wrapText="1"/>
    </xf>
    <xf numFmtId="0" fontId="8" fillId="0" borderId="17" xfId="0" applyFont="1" applyBorder="1" applyAlignment="1">
      <alignment vertical="top" wrapText="1"/>
    </xf>
    <xf numFmtId="164" fontId="8" fillId="0" borderId="86" xfId="0" applyNumberFormat="1" applyFont="1" applyBorder="1"/>
    <xf numFmtId="164" fontId="10" fillId="0" borderId="86" xfId="0" applyNumberFormat="1" applyFont="1" applyBorder="1" applyAlignment="1">
      <alignment horizontal="right"/>
    </xf>
    <xf numFmtId="165" fontId="8" fillId="0" borderId="60" xfId="0" applyNumberFormat="1" applyFont="1" applyBorder="1" applyAlignment="1">
      <alignment horizontal="center" wrapText="1"/>
    </xf>
    <xf numFmtId="2" fontId="8" fillId="0" borderId="64" xfId="0" applyNumberFormat="1" applyFont="1" applyBorder="1" applyAlignment="1">
      <alignment horizontal="center"/>
    </xf>
    <xf numFmtId="0" fontId="8" fillId="0" borderId="66" xfId="0" applyFont="1" applyBorder="1" applyAlignment="1">
      <alignment horizontal="center" vertical="center" wrapText="1"/>
    </xf>
    <xf numFmtId="17" fontId="8" fillId="0" borderId="66" xfId="0" quotePrefix="1" applyNumberFormat="1" applyFont="1" applyBorder="1" applyAlignment="1">
      <alignment horizontal="center"/>
    </xf>
    <xf numFmtId="3" fontId="8" fillId="0" borderId="7" xfId="0" applyNumberFormat="1" applyFont="1" applyBorder="1" applyAlignment="1">
      <alignment horizontal="center"/>
    </xf>
    <xf numFmtId="185" fontId="8" fillId="0" borderId="12" xfId="0" applyNumberFormat="1" applyFont="1" applyBorder="1" applyAlignment="1">
      <alignment horizontal="center"/>
    </xf>
    <xf numFmtId="177" fontId="8" fillId="0" borderId="7" xfId="0" applyNumberFormat="1" applyFont="1" applyBorder="1" applyAlignment="1">
      <alignment horizontal="right"/>
    </xf>
    <xf numFmtId="166" fontId="8" fillId="0" borderId="12" xfId="0" applyNumberFormat="1" applyFont="1" applyBorder="1" applyAlignment="1">
      <alignment horizontal="center"/>
    </xf>
    <xf numFmtId="180" fontId="8" fillId="0" borderId="7" xfId="0" applyNumberFormat="1" applyFont="1" applyBorder="1" applyAlignment="1">
      <alignment horizontal="center"/>
    </xf>
    <xf numFmtId="175" fontId="8" fillId="0" borderId="7" xfId="0" applyNumberFormat="1" applyFont="1" applyBorder="1" applyAlignment="1">
      <alignment horizontal="center"/>
    </xf>
    <xf numFmtId="180" fontId="8" fillId="0" borderId="86" xfId="0" applyNumberFormat="1" applyFont="1" applyBorder="1" applyAlignment="1">
      <alignment horizontal="center"/>
    </xf>
    <xf numFmtId="187" fontId="8" fillId="0" borderId="67" xfId="0" applyNumberFormat="1" applyFont="1" applyBorder="1"/>
    <xf numFmtId="172" fontId="8" fillId="0" borderId="12" xfId="0" applyNumberFormat="1" applyFont="1" applyBorder="1" applyAlignment="1">
      <alignment horizontal="center"/>
    </xf>
    <xf numFmtId="172" fontId="8" fillId="0" borderId="73" xfId="0" applyNumberFormat="1" applyFont="1" applyBorder="1" applyAlignment="1">
      <alignment horizontal="center"/>
    </xf>
    <xf numFmtId="172" fontId="14" fillId="0" borderId="0" xfId="0" applyNumberFormat="1" applyFont="1" applyAlignment="1">
      <alignment horizontal="center"/>
    </xf>
    <xf numFmtId="37" fontId="8" fillId="0" borderId="12" xfId="0" applyNumberFormat="1" applyFont="1" applyBorder="1" applyAlignment="1">
      <alignment horizontal="center"/>
    </xf>
    <xf numFmtId="0" fontId="8" fillId="0" borderId="66" xfId="0" applyFont="1" applyBorder="1" applyAlignment="1">
      <alignment wrapText="1"/>
    </xf>
    <xf numFmtId="44" fontId="8" fillId="0" borderId="7" xfId="0" applyNumberFormat="1" applyFont="1" applyBorder="1" applyAlignment="1">
      <alignment horizontal="right"/>
    </xf>
    <xf numFmtId="170" fontId="8" fillId="0" borderId="12" xfId="0" applyNumberFormat="1" applyFont="1" applyBorder="1" applyAlignment="1">
      <alignment horizontal="center"/>
    </xf>
    <xf numFmtId="2" fontId="8" fillId="0" borderId="86" xfId="0" applyNumberFormat="1" applyFont="1" applyBorder="1" applyAlignment="1">
      <alignment vertical="center"/>
    </xf>
    <xf numFmtId="8" fontId="8" fillId="0" borderId="97" xfId="0" applyNumberFormat="1" applyFont="1" applyBorder="1" applyAlignment="1">
      <alignment vertical="center" wrapText="1"/>
    </xf>
    <xf numFmtId="0" fontId="8" fillId="0" borderId="98" xfId="0" applyFont="1" applyBorder="1"/>
    <xf numFmtId="0" fontId="8" fillId="0" borderId="99" xfId="0" applyFont="1" applyBorder="1" applyAlignment="1">
      <alignment vertical="center" wrapText="1"/>
    </xf>
    <xf numFmtId="2" fontId="8" fillId="0" borderId="93" xfId="0" applyNumberFormat="1" applyFont="1" applyBorder="1" applyAlignment="1">
      <alignment vertical="center"/>
    </xf>
    <xf numFmtId="8" fontId="8" fillId="0" borderId="93" xfId="0" applyNumberFormat="1" applyFont="1" applyBorder="1" applyAlignment="1">
      <alignment vertical="center" wrapText="1"/>
    </xf>
    <xf numFmtId="44" fontId="8" fillId="0" borderId="66" xfId="0" applyNumberFormat="1" applyFont="1" applyBorder="1" applyAlignment="1">
      <alignment vertical="center" wrapText="1"/>
    </xf>
    <xf numFmtId="0" fontId="8" fillId="0" borderId="66" xfId="0" applyFont="1" applyBorder="1" applyAlignment="1">
      <alignment vertical="center" wrapText="1"/>
    </xf>
    <xf numFmtId="2" fontId="8" fillId="0" borderId="62" xfId="0" applyNumberFormat="1" applyFont="1" applyBorder="1" applyAlignment="1">
      <alignment vertical="center"/>
    </xf>
    <xf numFmtId="0" fontId="8" fillId="0" borderId="17" xfId="0" applyFont="1" applyBorder="1" applyAlignment="1">
      <alignment horizontal="center" wrapText="1"/>
    </xf>
    <xf numFmtId="0" fontId="10" fillId="0" borderId="93" xfId="0" applyFont="1" applyBorder="1" applyAlignment="1">
      <alignment wrapText="1"/>
    </xf>
    <xf numFmtId="44" fontId="8" fillId="0" borderId="93" xfId="2" applyFont="1" applyFill="1" applyBorder="1" applyAlignment="1">
      <alignment horizontal="center" wrapText="1"/>
    </xf>
    <xf numFmtId="44" fontId="8" fillId="0" borderId="93" xfId="2" applyFont="1" applyFill="1" applyBorder="1" applyAlignment="1">
      <alignment horizontal="center" vertical="center" wrapText="1"/>
    </xf>
    <xf numFmtId="44" fontId="8" fillId="0" borderId="93" xfId="0" applyNumberFormat="1" applyFont="1" applyBorder="1" applyAlignment="1">
      <alignment horizontal="center" vertical="center" wrapText="1"/>
    </xf>
    <xf numFmtId="3" fontId="12" fillId="0" borderId="61" xfId="0" applyNumberFormat="1" applyFont="1" applyBorder="1"/>
    <xf numFmtId="3" fontId="12" fillId="0" borderId="12" xfId="0" applyNumberFormat="1" applyFont="1" applyBorder="1"/>
    <xf numFmtId="166" fontId="8" fillId="0" borderId="62" xfId="0" applyNumberFormat="1" applyFont="1" applyBorder="1" applyAlignment="1">
      <alignment horizontal="right"/>
    </xf>
    <xf numFmtId="0" fontId="8" fillId="0" borderId="92" xfId="0" applyFont="1" applyBorder="1" applyAlignment="1">
      <alignment vertical="center" wrapText="1"/>
    </xf>
    <xf numFmtId="165" fontId="8" fillId="0" borderId="92" xfId="0" applyNumberFormat="1" applyFont="1" applyBorder="1" applyAlignment="1">
      <alignment vertical="center" wrapText="1"/>
    </xf>
    <xf numFmtId="0" fontId="10" fillId="0" borderId="101" xfId="0" applyFont="1" applyBorder="1" applyAlignment="1">
      <alignment horizontal="center"/>
    </xf>
    <xf numFmtId="0" fontId="8" fillId="0" borderId="13" xfId="0" applyFont="1" applyBorder="1" applyAlignment="1">
      <alignment horizontal="center" vertical="center"/>
    </xf>
    <xf numFmtId="8" fontId="12" fillId="0" borderId="86" xfId="0" applyNumberFormat="1" applyFont="1" applyBorder="1" applyAlignment="1">
      <alignment wrapText="1"/>
    </xf>
    <xf numFmtId="2" fontId="8" fillId="0" borderId="86" xfId="0" applyNumberFormat="1" applyFont="1" applyBorder="1" applyAlignment="1">
      <alignment vertical="center" wrapText="1"/>
    </xf>
    <xf numFmtId="0" fontId="8" fillId="0" borderId="86" xfId="0" quotePrefix="1" applyFont="1" applyBorder="1" applyAlignment="1">
      <alignment horizontal="left"/>
    </xf>
    <xf numFmtId="167" fontId="8" fillId="0" borderId="12" xfId="0" applyNumberFormat="1" applyFont="1" applyBorder="1" applyAlignment="1">
      <alignment horizontal="center"/>
    </xf>
    <xf numFmtId="0" fontId="10" fillId="0" borderId="62" xfId="0" applyFont="1" applyBorder="1" applyAlignment="1">
      <alignment wrapText="1"/>
    </xf>
    <xf numFmtId="43" fontId="8" fillId="0" borderId="12" xfId="0" applyNumberFormat="1" applyFont="1" applyBorder="1" applyAlignment="1">
      <alignment horizontal="center"/>
    </xf>
    <xf numFmtId="44" fontId="8" fillId="0" borderId="70" xfId="0" applyNumberFormat="1" applyFont="1" applyBorder="1"/>
    <xf numFmtId="44" fontId="8" fillId="0" borderId="64" xfId="0" applyNumberFormat="1" applyFont="1" applyBorder="1" applyAlignment="1">
      <alignment wrapText="1"/>
    </xf>
    <xf numFmtId="0" fontId="10" fillId="0" borderId="73" xfId="0" applyFont="1" applyBorder="1" applyAlignment="1">
      <alignment horizontal="center" vertical="center"/>
    </xf>
    <xf numFmtId="0" fontId="10" fillId="0" borderId="17" xfId="0" applyFont="1" applyBorder="1" applyAlignment="1">
      <alignment horizontal="center" vertical="center"/>
    </xf>
    <xf numFmtId="0" fontId="8" fillId="0" borderId="73" xfId="0" applyFont="1" applyBorder="1" applyAlignment="1">
      <alignment horizontal="center" vertical="center"/>
    </xf>
    <xf numFmtId="0" fontId="8" fillId="0" borderId="84" xfId="0" applyFont="1" applyBorder="1" applyAlignment="1">
      <alignment horizontal="center" vertical="center" wrapText="1"/>
    </xf>
    <xf numFmtId="0" fontId="10" fillId="0" borderId="66" xfId="0" applyFont="1" applyBorder="1" applyAlignment="1">
      <alignment horizontal="center" vertical="center"/>
    </xf>
    <xf numFmtId="16" fontId="12" fillId="0" borderId="64" xfId="0" quotePrefix="1" applyNumberFormat="1" applyFont="1" applyBorder="1" applyAlignment="1">
      <alignment horizontal="center"/>
    </xf>
    <xf numFmtId="44" fontId="12" fillId="0" borderId="64" xfId="0" applyNumberFormat="1" applyFont="1" applyBorder="1" applyAlignment="1">
      <alignment horizontal="center"/>
    </xf>
    <xf numFmtId="0" fontId="12" fillId="0" borderId="7" xfId="0" applyFont="1" applyBorder="1"/>
    <xf numFmtId="165" fontId="8" fillId="0" borderId="93" xfId="0" applyNumberFormat="1" applyFont="1" applyBorder="1" applyAlignment="1">
      <alignment horizontal="center" vertical="center"/>
    </xf>
    <xf numFmtId="0" fontId="8" fillId="0" borderId="14" xfId="0" applyFont="1" applyBorder="1" applyAlignment="1">
      <alignment vertical="center" wrapText="1"/>
    </xf>
    <xf numFmtId="0" fontId="8" fillId="0" borderId="4" xfId="0" applyFont="1" applyBorder="1"/>
    <xf numFmtId="0" fontId="8" fillId="0" borderId="6" xfId="0" applyFont="1" applyBorder="1" applyAlignment="1">
      <alignment horizontal="center"/>
    </xf>
    <xf numFmtId="165" fontId="10" fillId="0" borderId="101" xfId="0" applyNumberFormat="1" applyFont="1" applyBorder="1"/>
    <xf numFmtId="8" fontId="8" fillId="0" borderId="93" xfId="2" applyNumberFormat="1" applyFont="1" applyFill="1" applyBorder="1" applyAlignment="1">
      <alignment horizontal="center" vertical="center"/>
    </xf>
    <xf numFmtId="175" fontId="8" fillId="0" borderId="86" xfId="0" applyNumberFormat="1" applyFont="1" applyBorder="1"/>
    <xf numFmtId="187" fontId="8" fillId="0" borderId="101" xfId="2" applyNumberFormat="1" applyFont="1" applyFill="1" applyBorder="1"/>
    <xf numFmtId="0" fontId="8" fillId="0" borderId="68" xfId="0" applyFont="1" applyBorder="1"/>
    <xf numFmtId="166" fontId="8" fillId="0" borderId="69" xfId="0" applyNumberFormat="1" applyFont="1" applyBorder="1"/>
    <xf numFmtId="166" fontId="8" fillId="0" borderId="66" xfId="0" applyNumberFormat="1" applyFont="1" applyBorder="1" applyAlignment="1">
      <alignment horizontal="right"/>
    </xf>
    <xf numFmtId="0" fontId="12" fillId="0" borderId="20" xfId="0" applyFont="1" applyBorder="1" applyAlignment="1">
      <alignment vertical="top"/>
    </xf>
    <xf numFmtId="164" fontId="8" fillId="0" borderId="101" xfId="2" applyNumberFormat="1" applyFont="1" applyFill="1" applyBorder="1"/>
    <xf numFmtId="0" fontId="8" fillId="0" borderId="0" xfId="2" applyNumberFormat="1" applyFont="1" applyFill="1" applyAlignment="1"/>
    <xf numFmtId="0" fontId="8" fillId="0" borderId="97"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166" fontId="8" fillId="0" borderId="97" xfId="0" applyNumberFormat="1" applyFont="1" applyBorder="1" applyAlignment="1">
      <alignment horizontal="center" vertical="center"/>
    </xf>
    <xf numFmtId="166" fontId="8" fillId="0" borderId="99" xfId="0" applyNumberFormat="1" applyFont="1" applyBorder="1" applyAlignment="1">
      <alignment horizontal="center" vertical="center"/>
    </xf>
    <xf numFmtId="165" fontId="10" fillId="0" borderId="100" xfId="0" applyNumberFormat="1" applyFont="1" applyBorder="1" applyAlignment="1">
      <alignment horizontal="right"/>
    </xf>
    <xf numFmtId="165" fontId="10" fillId="0" borderId="92" xfId="0" applyNumberFormat="1" applyFont="1" applyBorder="1" applyAlignment="1">
      <alignment horizontal="right"/>
    </xf>
    <xf numFmtId="165" fontId="10" fillId="0" borderId="82" xfId="0" applyNumberFormat="1" applyFont="1" applyBorder="1" applyAlignment="1">
      <alignment horizontal="right"/>
    </xf>
    <xf numFmtId="165" fontId="10" fillId="0" borderId="97" xfId="0" applyNumberFormat="1" applyFont="1" applyBorder="1" applyAlignment="1">
      <alignment horizontal="right"/>
    </xf>
    <xf numFmtId="165" fontId="10" fillId="0" borderId="98" xfId="0" applyNumberFormat="1" applyFont="1" applyBorder="1" applyAlignment="1">
      <alignment horizontal="right"/>
    </xf>
    <xf numFmtId="165" fontId="10" fillId="0" borderId="99" xfId="0" applyNumberFormat="1" applyFont="1" applyBorder="1" applyAlignment="1">
      <alignment horizontal="right"/>
    </xf>
    <xf numFmtId="0" fontId="8" fillId="0" borderId="67" xfId="0" applyFont="1" applyBorder="1" applyAlignment="1">
      <alignment horizontal="left" vertical="top" wrapText="1"/>
    </xf>
    <xf numFmtId="165" fontId="10" fillId="0" borderId="93" xfId="0" applyNumberFormat="1" applyFont="1" applyBorder="1" applyAlignment="1">
      <alignment horizontal="right"/>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61" xfId="0" applyFont="1" applyBorder="1" applyAlignment="1">
      <alignment horizontal="left"/>
    </xf>
    <xf numFmtId="0" fontId="8" fillId="0" borderId="60" xfId="0" applyFont="1" applyBorder="1" applyAlignment="1">
      <alignment horizontal="left"/>
    </xf>
    <xf numFmtId="0" fontId="8" fillId="0" borderId="62" xfId="0" applyFont="1" applyBorder="1" applyAlignment="1">
      <alignment horizontal="left"/>
    </xf>
    <xf numFmtId="0" fontId="10" fillId="0" borderId="61" xfId="0" applyFont="1" applyBorder="1" applyAlignment="1">
      <alignment vertical="center"/>
    </xf>
    <xf numFmtId="0" fontId="10" fillId="0" borderId="62" xfId="0" applyFont="1" applyBorder="1" applyAlignment="1">
      <alignment vertical="center"/>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1" xfId="0" applyFont="1" applyBorder="1" applyAlignment="1">
      <alignment horizontal="center"/>
    </xf>
    <xf numFmtId="0" fontId="10" fillId="0" borderId="62" xfId="0" applyFont="1" applyBorder="1" applyAlignment="1">
      <alignment horizontal="center"/>
    </xf>
    <xf numFmtId="0" fontId="8" fillId="0" borderId="86" xfId="0" applyFont="1" applyBorder="1" applyAlignment="1">
      <alignment horizontal="left"/>
    </xf>
    <xf numFmtId="0" fontId="8" fillId="0" borderId="61" xfId="0" applyFont="1" applyBorder="1" applyAlignment="1">
      <alignment horizontal="left" wrapText="1"/>
    </xf>
    <xf numFmtId="0" fontId="8" fillId="0" borderId="60" xfId="0" applyFont="1" applyBorder="1" applyAlignment="1">
      <alignment horizontal="left" wrapText="1"/>
    </xf>
    <xf numFmtId="0" fontId="8" fillId="0" borderId="62" xfId="0" applyFont="1" applyBorder="1" applyAlignment="1">
      <alignment horizontal="left" wrapText="1"/>
    </xf>
    <xf numFmtId="0" fontId="8" fillId="0" borderId="64" xfId="0" applyFont="1" applyBorder="1" applyAlignment="1">
      <alignment horizontal="center" vertical="center" wrapText="1"/>
    </xf>
    <xf numFmtId="0" fontId="8" fillId="0" borderId="7" xfId="0" applyFont="1" applyBorder="1" applyAlignment="1">
      <alignment horizontal="center" vertical="center" wrapText="1"/>
    </xf>
    <xf numFmtId="166" fontId="8" fillId="0" borderId="61"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61" xfId="0" applyFont="1" applyBorder="1" applyAlignment="1">
      <alignment horizontal="center" wrapText="1"/>
    </xf>
    <xf numFmtId="0" fontId="10" fillId="0" borderId="62" xfId="0" applyFont="1" applyBorder="1" applyAlignment="1">
      <alignment horizont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97" xfId="0" applyFont="1" applyBorder="1" applyAlignment="1">
      <alignment horizontal="center" wrapText="1"/>
    </xf>
    <xf numFmtId="0" fontId="10" fillId="0" borderId="99" xfId="0" applyFont="1" applyBorder="1" applyAlignment="1">
      <alignment horizontal="center" wrapText="1"/>
    </xf>
    <xf numFmtId="0" fontId="10" fillId="0" borderId="60" xfId="0" applyFont="1" applyBorder="1" applyAlignment="1">
      <alignment horizontal="right" wrapText="1"/>
    </xf>
    <xf numFmtId="0" fontId="10" fillId="0" borderId="61" xfId="0" applyFont="1" applyBorder="1" applyAlignment="1">
      <alignment horizontal="right"/>
    </xf>
    <xf numFmtId="0" fontId="10" fillId="0" borderId="60" xfId="0" applyFont="1" applyBorder="1" applyAlignment="1">
      <alignment horizontal="right"/>
    </xf>
    <xf numFmtId="0" fontId="10" fillId="0" borderId="62" xfId="0" applyFont="1" applyBorder="1" applyAlignment="1">
      <alignment horizontal="right"/>
    </xf>
    <xf numFmtId="0" fontId="14" fillId="0" borderId="89" xfId="0" applyFont="1" applyBorder="1" applyAlignment="1">
      <alignment horizontal="left" wrapText="1"/>
    </xf>
    <xf numFmtId="0" fontId="14" fillId="0" borderId="90" xfId="0" applyFont="1" applyBorder="1" applyAlignment="1">
      <alignment horizontal="left" wrapText="1"/>
    </xf>
    <xf numFmtId="0" fontId="14" fillId="0" borderId="91" xfId="0" applyFont="1" applyBorder="1" applyAlignment="1">
      <alignment horizontal="left" wrapText="1"/>
    </xf>
    <xf numFmtId="0" fontId="8" fillId="0" borderId="93" xfId="0" applyFont="1" applyBorder="1" applyAlignment="1">
      <alignment horizontal="center" vertical="center"/>
    </xf>
    <xf numFmtId="0" fontId="8" fillId="0" borderId="100" xfId="0" applyFont="1" applyBorder="1" applyAlignment="1">
      <alignment horizontal="left" wrapText="1"/>
    </xf>
    <xf numFmtId="0" fontId="8" fillId="0" borderId="92" xfId="0" applyFont="1" applyBorder="1" applyAlignment="1">
      <alignment horizontal="left" wrapText="1"/>
    </xf>
    <xf numFmtId="0" fontId="8" fillId="0" borderId="82" xfId="0" applyFont="1" applyBorder="1" applyAlignment="1">
      <alignment horizontal="left" wrapText="1"/>
    </xf>
    <xf numFmtId="166" fontId="8" fillId="0" borderId="100" xfId="0" applyNumberFormat="1" applyFont="1" applyBorder="1" applyAlignment="1">
      <alignment horizontal="center" vertical="center"/>
    </xf>
    <xf numFmtId="166" fontId="8" fillId="0" borderId="82" xfId="0" applyNumberFormat="1"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97" xfId="0" applyFont="1" applyBorder="1" applyAlignment="1">
      <alignment horizontal="left" vertical="center" wrapText="1"/>
    </xf>
    <xf numFmtId="0" fontId="10" fillId="0" borderId="99" xfId="0" applyFont="1" applyBorder="1" applyAlignment="1">
      <alignment horizontal="left" vertical="center" wrapText="1"/>
    </xf>
    <xf numFmtId="0" fontId="10"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10" fillId="0" borderId="93" xfId="0" applyFont="1" applyBorder="1" applyAlignment="1">
      <alignment horizontal="left" wrapText="1"/>
    </xf>
    <xf numFmtId="0" fontId="10" fillId="0" borderId="97" xfId="0" applyFont="1" applyBorder="1" applyAlignment="1">
      <alignment horizontal="center"/>
    </xf>
    <xf numFmtId="0" fontId="10" fillId="0" borderId="99" xfId="0" applyFont="1" applyBorder="1" applyAlignment="1">
      <alignment horizontal="center"/>
    </xf>
    <xf numFmtId="0" fontId="8" fillId="0" borderId="93" xfId="0" applyFont="1" applyBorder="1" applyAlignment="1">
      <alignment horizontal="left" vertical="center" wrapText="1"/>
    </xf>
    <xf numFmtId="166" fontId="8" fillId="0" borderId="97" xfId="0" applyNumberFormat="1" applyFont="1" applyBorder="1" applyAlignment="1">
      <alignment horizontal="center" vertical="center" wrapText="1"/>
    </xf>
    <xf numFmtId="166" fontId="8" fillId="0" borderId="99" xfId="0" applyNumberFormat="1" applyFont="1" applyBorder="1" applyAlignment="1">
      <alignment horizontal="center" vertical="center" wrapText="1"/>
    </xf>
    <xf numFmtId="0" fontId="8" fillId="0" borderId="100" xfId="0" applyFont="1" applyBorder="1" applyAlignment="1">
      <alignment horizontal="left"/>
    </xf>
    <xf numFmtId="0" fontId="8" fillId="0" borderId="92" xfId="0" applyFont="1" applyBorder="1" applyAlignment="1">
      <alignment horizontal="left"/>
    </xf>
    <xf numFmtId="0" fontId="8" fillId="0" borderId="82" xfId="0" applyFont="1" applyBorder="1" applyAlignment="1">
      <alignment horizontal="left"/>
    </xf>
    <xf numFmtId="44" fontId="8" fillId="0" borderId="100" xfId="0" applyNumberFormat="1" applyFont="1" applyBorder="1" applyAlignment="1">
      <alignment horizontal="center" vertical="center"/>
    </xf>
    <xf numFmtId="44" fontId="8" fillId="0" borderId="82" xfId="0" applyNumberFormat="1" applyFont="1" applyBorder="1" applyAlignment="1">
      <alignment horizontal="center" vertical="center"/>
    </xf>
    <xf numFmtId="0" fontId="10" fillId="0" borderId="98" xfId="0" applyFont="1" applyBorder="1" applyAlignment="1">
      <alignment horizontal="center"/>
    </xf>
    <xf numFmtId="0" fontId="76" fillId="0" borderId="107" xfId="0" applyFont="1" applyBorder="1" applyAlignment="1">
      <alignment horizontal="left" vertical="top" wrapText="1"/>
    </xf>
    <xf numFmtId="0" fontId="76" fillId="0" borderId="90" xfId="0" applyFont="1" applyBorder="1" applyAlignment="1">
      <alignment horizontal="left" vertical="top" wrapText="1"/>
    </xf>
    <xf numFmtId="0" fontId="76" fillId="0" borderId="91" xfId="0" applyFont="1" applyBorder="1" applyAlignment="1">
      <alignment horizontal="left" vertical="top" wrapText="1"/>
    </xf>
    <xf numFmtId="7" fontId="8" fillId="0" borderId="86" xfId="0" applyNumberFormat="1" applyFont="1" applyBorder="1" applyAlignment="1">
      <alignment horizontal="center" wrapText="1"/>
    </xf>
    <xf numFmtId="0" fontId="8" fillId="0" borderId="86" xfId="0" applyFont="1" applyBorder="1" applyAlignment="1">
      <alignment horizontal="left" wrapText="1"/>
    </xf>
    <xf numFmtId="0" fontId="8" fillId="0" borderId="86" xfId="0" applyFont="1" applyBorder="1" applyAlignment="1">
      <alignment horizontal="left" vertical="center" wrapText="1"/>
    </xf>
    <xf numFmtId="0" fontId="12" fillId="0" borderId="86" xfId="0" applyFont="1" applyBorder="1" applyAlignment="1">
      <alignment vertical="center" wrapText="1"/>
    </xf>
    <xf numFmtId="0" fontId="8" fillId="0" borderId="86" xfId="0" applyFont="1" applyBorder="1" applyAlignment="1">
      <alignment wrapText="1"/>
    </xf>
    <xf numFmtId="0" fontId="8" fillId="0" borderId="86" xfId="0" applyFont="1" applyBorder="1" applyAlignment="1">
      <alignment horizontal="right"/>
    </xf>
    <xf numFmtId="0" fontId="77" fillId="0" borderId="14"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86" xfId="0" applyFont="1" applyBorder="1" applyAlignment="1">
      <alignment horizontal="left" wrapText="1"/>
    </xf>
    <xf numFmtId="0" fontId="8" fillId="0" borderId="86" xfId="0" applyFont="1" applyBorder="1" applyAlignment="1">
      <alignment horizontal="right" wrapText="1"/>
    </xf>
    <xf numFmtId="0" fontId="8" fillId="0" borderId="61" xfId="0" applyFont="1" applyBorder="1" applyAlignment="1">
      <alignment horizontal="left" vertical="top" wrapText="1"/>
    </xf>
    <xf numFmtId="0" fontId="8" fillId="0" borderId="60" xfId="0" applyFont="1" applyBorder="1" applyAlignment="1">
      <alignment horizontal="left" vertical="top" wrapText="1"/>
    </xf>
    <xf numFmtId="0" fontId="8" fillId="0" borderId="62" xfId="0" applyFont="1" applyBorder="1" applyAlignment="1">
      <alignment horizontal="left" vertical="top" wrapText="1"/>
    </xf>
    <xf numFmtId="0" fontId="67" fillId="0" borderId="1" xfId="0" applyFont="1" applyBorder="1" applyAlignment="1">
      <alignment horizontal="left" vertical="center" wrapText="1"/>
    </xf>
    <xf numFmtId="0" fontId="67" fillId="0" borderId="1" xfId="0" applyFont="1" applyBorder="1" applyAlignment="1">
      <alignment horizontal="center" vertical="center" wrapText="1"/>
    </xf>
    <xf numFmtId="0" fontId="67" fillId="0" borderId="59" xfId="0" applyFont="1" applyBorder="1" applyAlignment="1">
      <alignment horizontal="center" vertical="center" wrapText="1"/>
    </xf>
    <xf numFmtId="0" fontId="10" fillId="0" borderId="61" xfId="0" applyFont="1" applyBorder="1" applyAlignment="1">
      <alignment horizontal="left"/>
    </xf>
    <xf numFmtId="0" fontId="10" fillId="0" borderId="60" xfId="0" applyFont="1" applyBorder="1" applyAlignment="1">
      <alignment horizontal="left"/>
    </xf>
    <xf numFmtId="0" fontId="10" fillId="0" borderId="62" xfId="0" applyFont="1" applyBorder="1" applyAlignment="1">
      <alignment horizontal="left"/>
    </xf>
    <xf numFmtId="0" fontId="67" fillId="0" borderId="93" xfId="0" applyFont="1" applyBorder="1" applyAlignment="1">
      <alignment horizontal="left" wrapText="1"/>
    </xf>
    <xf numFmtId="0" fontId="67" fillId="0" borderId="93" xfId="0" applyFont="1" applyBorder="1" applyAlignment="1">
      <alignment horizontal="center" wrapText="1"/>
    </xf>
    <xf numFmtId="0" fontId="12" fillId="0" borderId="93" xfId="0" applyFont="1" applyBorder="1" applyAlignment="1">
      <alignment horizontal="left"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83" xfId="0" applyFont="1" applyBorder="1" applyAlignment="1">
      <alignment horizontal="center" wrapText="1"/>
    </xf>
    <xf numFmtId="0" fontId="10" fillId="0" borderId="82" xfId="0" applyFont="1" applyBorder="1" applyAlignment="1">
      <alignment horizontal="center" wrapText="1"/>
    </xf>
    <xf numFmtId="0" fontId="10" fillId="0" borderId="93" xfId="0" applyFont="1" applyBorder="1" applyAlignment="1">
      <alignment horizontal="center"/>
    </xf>
    <xf numFmtId="7" fontId="8" fillId="0" borderId="93" xfId="0" applyNumberFormat="1" applyFont="1" applyBorder="1" applyAlignment="1">
      <alignment horizontal="left" wrapText="1"/>
    </xf>
    <xf numFmtId="1" fontId="8" fillId="0" borderId="93" xfId="0" applyNumberFormat="1" applyFont="1" applyBorder="1" applyAlignment="1">
      <alignment horizontal="center" wrapText="1"/>
    </xf>
    <xf numFmtId="1" fontId="8" fillId="0" borderId="97" xfId="0" applyNumberFormat="1" applyFont="1" applyBorder="1" applyAlignment="1">
      <alignment horizontal="center" wrapText="1"/>
    </xf>
    <xf numFmtId="1" fontId="8" fillId="0" borderId="99" xfId="0" applyNumberFormat="1" applyFont="1" applyBorder="1" applyAlignment="1">
      <alignment horizontal="center" wrapText="1"/>
    </xf>
    <xf numFmtId="7" fontId="8" fillId="0" borderId="97" xfId="0" applyNumberFormat="1" applyFont="1" applyBorder="1" applyAlignment="1">
      <alignment horizontal="left" wrapText="1"/>
    </xf>
    <xf numFmtId="7" fontId="8" fillId="0" borderId="98" xfId="0" applyNumberFormat="1" applyFont="1" applyBorder="1" applyAlignment="1">
      <alignment horizontal="left" wrapText="1"/>
    </xf>
    <xf numFmtId="7" fontId="8" fillId="0" borderId="99" xfId="0" applyNumberFormat="1" applyFont="1" applyBorder="1" applyAlignment="1">
      <alignment horizontal="left" wrapText="1"/>
    </xf>
    <xf numFmtId="7" fontId="8" fillId="0" borderId="101" xfId="0" applyNumberFormat="1" applyFont="1" applyBorder="1" applyAlignment="1">
      <alignment horizontal="left" wrapText="1"/>
    </xf>
    <xf numFmtId="165" fontId="10" fillId="0" borderId="101" xfId="0" applyNumberFormat="1" applyFont="1" applyBorder="1" applyAlignment="1">
      <alignment horizontal="right"/>
    </xf>
    <xf numFmtId="0" fontId="10" fillId="0" borderId="60"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166" fontId="8" fillId="0" borderId="61" xfId="0" applyNumberFormat="1" applyFont="1" applyBorder="1" applyAlignment="1">
      <alignment horizontal="center"/>
    </xf>
    <xf numFmtId="166" fontId="8" fillId="0" borderId="62" xfId="0" applyNumberFormat="1" applyFont="1" applyBorder="1" applyAlignment="1">
      <alignment horizontal="center"/>
    </xf>
    <xf numFmtId="165" fontId="10" fillId="0" borderId="21" xfId="0" applyNumberFormat="1" applyFont="1" applyBorder="1" applyAlignment="1">
      <alignment horizontal="right"/>
    </xf>
    <xf numFmtId="165" fontId="10" fillId="0" borderId="20" xfId="0" applyNumberFormat="1" applyFont="1" applyBorder="1" applyAlignment="1">
      <alignment horizontal="right"/>
    </xf>
    <xf numFmtId="165" fontId="10" fillId="0" borderId="19" xfId="0" applyNumberFormat="1" applyFont="1" applyBorder="1" applyAlignment="1">
      <alignment horizontal="right"/>
    </xf>
    <xf numFmtId="0" fontId="8" fillId="0" borderId="97" xfId="0" applyFont="1" applyBorder="1" applyAlignment="1">
      <alignment horizontal="center" vertical="center"/>
    </xf>
    <xf numFmtId="0" fontId="8" fillId="0" borderId="99" xfId="0" applyFont="1" applyBorder="1" applyAlignment="1">
      <alignment horizontal="center" vertical="center"/>
    </xf>
    <xf numFmtId="2" fontId="8" fillId="0" borderId="97" xfId="0" applyNumberFormat="1" applyFont="1" applyBorder="1" applyAlignment="1">
      <alignment horizontal="center" vertical="center"/>
    </xf>
    <xf numFmtId="2" fontId="8" fillId="0" borderId="99" xfId="0" applyNumberFormat="1" applyFont="1" applyBorder="1" applyAlignment="1">
      <alignment horizontal="center" vertical="center"/>
    </xf>
    <xf numFmtId="0" fontId="8" fillId="0" borderId="97" xfId="0" applyFont="1" applyBorder="1" applyAlignment="1">
      <alignment horizontal="left"/>
    </xf>
    <xf numFmtId="0" fontId="8" fillId="0" borderId="98" xfId="0" applyFont="1" applyBorder="1" applyAlignment="1">
      <alignment horizontal="left"/>
    </xf>
    <xf numFmtId="0" fontId="8" fillId="0" borderId="99" xfId="0" applyFont="1" applyBorder="1" applyAlignment="1">
      <alignment horizontal="left"/>
    </xf>
    <xf numFmtId="7" fontId="8" fillId="0" borderId="86" xfId="0" applyNumberFormat="1" applyFont="1" applyBorder="1" applyAlignment="1">
      <alignment horizontal="left" wrapText="1"/>
    </xf>
    <xf numFmtId="0" fontId="8" fillId="0" borderId="83" xfId="0" applyFont="1" applyBorder="1" applyAlignment="1">
      <alignment horizontal="lef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8" fillId="0" borderId="21"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73" fillId="0" borderId="68" xfId="0" applyFont="1" applyBorder="1" applyAlignment="1">
      <alignment horizontal="left" vertical="center"/>
    </xf>
    <xf numFmtId="0" fontId="73" fillId="0" borderId="72" xfId="0" applyFont="1" applyBorder="1" applyAlignment="1">
      <alignment horizontal="left" vertical="center"/>
    </xf>
    <xf numFmtId="0" fontId="73" fillId="0" borderId="69" xfId="0" applyFont="1" applyBorder="1" applyAlignment="1">
      <alignment horizontal="left" vertical="center"/>
    </xf>
    <xf numFmtId="0" fontId="8" fillId="0" borderId="61" xfId="0" applyFont="1" applyBorder="1" applyAlignment="1">
      <alignment horizontal="right" wrapText="1"/>
    </xf>
    <xf numFmtId="0" fontId="8" fillId="0" borderId="60" xfId="0" applyFont="1" applyBorder="1" applyAlignment="1">
      <alignment horizontal="right" wrapText="1"/>
    </xf>
    <xf numFmtId="0" fontId="8" fillId="0" borderId="62" xfId="0" applyFont="1" applyBorder="1" applyAlignment="1">
      <alignment horizontal="right" wrapText="1"/>
    </xf>
    <xf numFmtId="166" fontId="8" fillId="0" borderId="61" xfId="0" applyNumberFormat="1" applyFont="1" applyBorder="1" applyAlignment="1">
      <alignment horizontal="center" wrapText="1"/>
    </xf>
    <xf numFmtId="166" fontId="8" fillId="0" borderId="62" xfId="0" applyNumberFormat="1" applyFont="1" applyBorder="1" applyAlignment="1">
      <alignment horizontal="center" wrapText="1"/>
    </xf>
    <xf numFmtId="0" fontId="72" fillId="0" borderId="83" xfId="0" applyFont="1" applyBorder="1" applyAlignment="1">
      <alignment horizontal="left" vertical="center"/>
    </xf>
    <xf numFmtId="0" fontId="72" fillId="0" borderId="81" xfId="0" applyFont="1" applyBorder="1" applyAlignment="1">
      <alignment horizontal="left" vertical="center"/>
    </xf>
    <xf numFmtId="0" fontId="72" fillId="0" borderId="85" xfId="0" applyFont="1" applyBorder="1" applyAlignment="1">
      <alignment horizontal="left" vertical="center"/>
    </xf>
    <xf numFmtId="0" fontId="10" fillId="0" borderId="86" xfId="0" applyFont="1" applyBorder="1" applyAlignment="1">
      <alignment horizontal="center" wrapText="1"/>
    </xf>
    <xf numFmtId="165" fontId="4" fillId="0" borderId="24"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0" fontId="8" fillId="0" borderId="98" xfId="0" applyFont="1" applyBorder="1" applyAlignment="1">
      <alignment horizontal="center" vertical="center"/>
    </xf>
    <xf numFmtId="0" fontId="10" fillId="0" borderId="97" xfId="0" applyFont="1" applyBorder="1" applyAlignment="1">
      <alignment horizontal="left"/>
    </xf>
    <xf numFmtId="0" fontId="10" fillId="0" borderId="98" xfId="0" applyFont="1" applyBorder="1" applyAlignment="1">
      <alignment horizontal="left"/>
    </xf>
    <xf numFmtId="0" fontId="10" fillId="0" borderId="99" xfId="0" applyFont="1" applyBorder="1" applyAlignment="1">
      <alignment horizontal="left"/>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8" fillId="0" borderId="61" xfId="0" applyFont="1" applyBorder="1" applyAlignment="1">
      <alignment wrapText="1"/>
    </xf>
    <xf numFmtId="0" fontId="8" fillId="0" borderId="60" xfId="0" applyFont="1" applyBorder="1" applyAlignment="1">
      <alignment wrapText="1"/>
    </xf>
    <xf numFmtId="0" fontId="8" fillId="0" borderId="62" xfId="0" applyFont="1" applyBorder="1" applyAlignment="1">
      <alignment wrapText="1"/>
    </xf>
    <xf numFmtId="0" fontId="8" fillId="0" borderId="89" xfId="0" applyFont="1" applyBorder="1" applyAlignment="1">
      <alignment horizontal="left" wrapText="1"/>
    </xf>
    <xf numFmtId="0" fontId="8" fillId="0" borderId="90" xfId="0" applyFont="1" applyBorder="1" applyAlignment="1">
      <alignment horizontal="left" wrapText="1"/>
    </xf>
    <xf numFmtId="0" fontId="8" fillId="0" borderId="91" xfId="0" applyFont="1" applyBorder="1" applyAlignment="1">
      <alignment horizontal="left" wrapText="1"/>
    </xf>
    <xf numFmtId="0" fontId="12" fillId="0" borderId="71" xfId="0" applyFont="1" applyBorder="1" applyAlignment="1">
      <alignment horizontal="left" vertical="top" wrapText="1"/>
    </xf>
    <xf numFmtId="0" fontId="12" fillId="0" borderId="71" xfId="0" applyFont="1" applyBorder="1" applyAlignment="1">
      <alignment horizontal="left" vertical="top"/>
    </xf>
    <xf numFmtId="0" fontId="12" fillId="0" borderId="20" xfId="0" applyFont="1" applyBorder="1" applyAlignment="1">
      <alignment horizontal="left" vertical="top"/>
    </xf>
    <xf numFmtId="0" fontId="8" fillId="0" borderId="97" xfId="0" applyFont="1" applyBorder="1" applyAlignment="1">
      <alignment horizontal="right"/>
    </xf>
    <xf numFmtId="0" fontId="8" fillId="0" borderId="98" xfId="0" applyFont="1" applyBorder="1" applyAlignment="1">
      <alignment horizontal="right"/>
    </xf>
    <xf numFmtId="0" fontId="8" fillId="0" borderId="99" xfId="0" applyFont="1" applyBorder="1" applyAlignment="1">
      <alignment horizontal="right"/>
    </xf>
    <xf numFmtId="166" fontId="10" fillId="0" borderId="21" xfId="0" applyNumberFormat="1" applyFont="1" applyBorder="1" applyAlignment="1">
      <alignment horizontal="right" wrapText="1"/>
    </xf>
    <xf numFmtId="166" fontId="10" fillId="0" borderId="20" xfId="0" applyNumberFormat="1" applyFont="1" applyBorder="1" applyAlignment="1">
      <alignment horizontal="right" wrapText="1"/>
    </xf>
    <xf numFmtId="166" fontId="10" fillId="0" borderId="19" xfId="0" applyNumberFormat="1" applyFont="1" applyBorder="1" applyAlignment="1">
      <alignment horizontal="right" wrapText="1"/>
    </xf>
    <xf numFmtId="0" fontId="10" fillId="0" borderId="83"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93" xfId="0" applyFont="1" applyBorder="1" applyAlignment="1">
      <alignment horizontal="right"/>
    </xf>
    <xf numFmtId="166" fontId="8" fillId="0" borderId="93" xfId="0" applyNumberFormat="1" applyFont="1" applyBorder="1" applyAlignment="1">
      <alignment horizontal="center" vertical="center" wrapText="1"/>
    </xf>
    <xf numFmtId="165" fontId="10" fillId="0" borderId="89" xfId="0" applyNumberFormat="1" applyFont="1" applyBorder="1" applyAlignment="1">
      <alignment horizontal="right"/>
    </xf>
    <xf numFmtId="165" fontId="10" fillId="0" borderId="90" xfId="0" applyNumberFormat="1" applyFont="1" applyBorder="1" applyAlignment="1">
      <alignment horizontal="right"/>
    </xf>
    <xf numFmtId="165" fontId="10" fillId="0" borderId="91" xfId="0" applyNumberFormat="1" applyFont="1" applyBorder="1" applyAlignment="1">
      <alignment horizontal="right"/>
    </xf>
    <xf numFmtId="0" fontId="8" fillId="0" borderId="97" xfId="0" applyFont="1" applyBorder="1" applyAlignment="1">
      <alignment horizontal="left" wrapText="1"/>
    </xf>
    <xf numFmtId="0" fontId="8" fillId="0" borderId="98" xfId="0" applyFont="1" applyBorder="1" applyAlignment="1">
      <alignment horizontal="left" wrapText="1"/>
    </xf>
    <xf numFmtId="0" fontId="8" fillId="0" borderId="99" xfId="0" applyFont="1" applyBorder="1" applyAlignment="1">
      <alignment horizontal="left" wrapText="1"/>
    </xf>
    <xf numFmtId="0" fontId="8" fillId="0" borderId="97" xfId="0" applyFont="1" applyBorder="1" applyAlignment="1">
      <alignment horizontal="center"/>
    </xf>
    <xf numFmtId="0" fontId="8" fillId="0" borderId="99" xfId="0" applyFont="1" applyBorder="1" applyAlignment="1">
      <alignment horizontal="center"/>
    </xf>
    <xf numFmtId="165" fontId="8" fillId="0" borderId="97" xfId="0" applyNumberFormat="1" applyFont="1" applyBorder="1" applyAlignment="1">
      <alignment horizontal="right"/>
    </xf>
    <xf numFmtId="165" fontId="8" fillId="0" borderId="98" xfId="0" applyNumberFormat="1" applyFont="1" applyBorder="1" applyAlignment="1">
      <alignment horizontal="right"/>
    </xf>
    <xf numFmtId="165" fontId="8" fillId="0" borderId="99" xfId="0" applyNumberFormat="1" applyFont="1" applyBorder="1" applyAlignment="1">
      <alignment horizontal="right"/>
    </xf>
    <xf numFmtId="0" fontId="12" fillId="0" borderId="71" xfId="0" applyFont="1" applyBorder="1" applyAlignment="1">
      <alignment horizontal="left" vertical="center" wrapText="1"/>
    </xf>
    <xf numFmtId="0" fontId="72" fillId="0" borderId="71" xfId="0" applyFont="1" applyBorder="1" applyAlignment="1">
      <alignment horizontal="left" vertical="center"/>
    </xf>
    <xf numFmtId="0" fontId="72" fillId="0" borderId="20" xfId="0" applyFont="1" applyBorder="1" applyAlignment="1">
      <alignment horizontal="left" vertical="center"/>
    </xf>
    <xf numFmtId="0" fontId="12" fillId="0" borderId="20" xfId="0" applyFont="1" applyBorder="1" applyAlignment="1">
      <alignment horizontal="left" vertical="center" wrapText="1"/>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10" fillId="0" borderId="12" xfId="0" applyFont="1" applyBorder="1" applyAlignment="1">
      <alignment vertical="center"/>
    </xf>
    <xf numFmtId="0" fontId="10" fillId="0" borderId="13" xfId="0" applyFont="1" applyBorder="1" applyAlignment="1">
      <alignment vertical="center"/>
    </xf>
    <xf numFmtId="0" fontId="12" fillId="0" borderId="68" xfId="0" applyFont="1" applyBorder="1" applyAlignment="1">
      <alignment horizontal="left" vertical="center"/>
    </xf>
    <xf numFmtId="166" fontId="8" fillId="0" borderId="12" xfId="0" applyNumberFormat="1" applyFont="1" applyBorder="1" applyAlignment="1">
      <alignment horizontal="center" wrapText="1"/>
    </xf>
    <xf numFmtId="166" fontId="8" fillId="0" borderId="13" xfId="0" applyNumberFormat="1" applyFont="1" applyBorder="1" applyAlignment="1">
      <alignment horizontal="center" wrapText="1"/>
    </xf>
    <xf numFmtId="0" fontId="8" fillId="0" borderId="61" xfId="0" applyFont="1" applyBorder="1" applyAlignment="1">
      <alignment horizontal="left" vertical="center" wrapText="1"/>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8" fillId="0" borderId="100" xfId="0" applyFont="1" applyBorder="1" applyAlignment="1">
      <alignment horizontal="left" vertical="top" wrapText="1"/>
    </xf>
    <xf numFmtId="0" fontId="8" fillId="0" borderId="92"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Alignment="1">
      <alignment horizontal="left" vertical="top"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7" xfId="0" applyFont="1" applyBorder="1" applyAlignment="1">
      <alignment vertical="center"/>
    </xf>
    <xf numFmtId="0" fontId="10" fillId="0" borderId="93" xfId="0" applyFont="1" applyBorder="1" applyAlignment="1">
      <alignment horizontal="center" wrapText="1"/>
    </xf>
    <xf numFmtId="166" fontId="8" fillId="0" borderId="97" xfId="0" applyNumberFormat="1" applyFont="1" applyBorder="1" applyAlignment="1">
      <alignment horizontal="center"/>
    </xf>
    <xf numFmtId="166" fontId="8" fillId="0" borderId="99" xfId="0" applyNumberFormat="1" applyFont="1" applyBorder="1" applyAlignment="1">
      <alignment horizontal="center"/>
    </xf>
    <xf numFmtId="0" fontId="8" fillId="0" borderId="89" xfId="0" applyFont="1" applyBorder="1" applyAlignment="1">
      <alignment horizontal="center"/>
    </xf>
    <xf numFmtId="0" fontId="8" fillId="0" borderId="91" xfId="0" applyFont="1" applyBorder="1" applyAlignment="1">
      <alignment horizontal="center"/>
    </xf>
    <xf numFmtId="0" fontId="8" fillId="0" borderId="2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88" xfId="0" applyFont="1" applyBorder="1" applyAlignment="1">
      <alignment horizontal="center" vertical="center"/>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60" xfId="0" applyFont="1" applyBorder="1" applyAlignment="1">
      <alignment horizontal="right"/>
    </xf>
    <xf numFmtId="0" fontId="8" fillId="0" borderId="62" xfId="0" applyFont="1" applyBorder="1" applyAlignment="1">
      <alignment horizontal="right"/>
    </xf>
    <xf numFmtId="0" fontId="8" fillId="0" borderId="67" xfId="0" applyFont="1" applyBorder="1" applyAlignment="1">
      <alignment horizontal="right"/>
    </xf>
    <xf numFmtId="0" fontId="67" fillId="0" borderId="61" xfId="0" applyFont="1" applyBorder="1" applyAlignment="1">
      <alignment horizontal="left"/>
    </xf>
    <xf numFmtId="0" fontId="67" fillId="0" borderId="60" xfId="0" applyFont="1" applyBorder="1" applyAlignment="1">
      <alignment horizontal="left"/>
    </xf>
    <xf numFmtId="0" fontId="67" fillId="0" borderId="62" xfId="0" applyFont="1" applyBorder="1" applyAlignment="1">
      <alignment horizontal="left"/>
    </xf>
    <xf numFmtId="0" fontId="67" fillId="0" borderId="12" xfId="0" applyFont="1" applyBorder="1" applyAlignment="1">
      <alignment horizontal="center"/>
    </xf>
    <xf numFmtId="0" fontId="67" fillId="0" borderId="13" xfId="0" applyFont="1" applyBorder="1" applyAlignment="1">
      <alignment horizontal="center"/>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1" fontId="8" fillId="0" borderId="61" xfId="0" applyNumberFormat="1" applyFont="1" applyBorder="1" applyAlignment="1">
      <alignment horizontal="center" wrapText="1"/>
    </xf>
    <xf numFmtId="1" fontId="8" fillId="0" borderId="62" xfId="0" applyNumberFormat="1" applyFont="1" applyBorder="1" applyAlignment="1">
      <alignment horizontal="center" wrapText="1"/>
    </xf>
    <xf numFmtId="0" fontId="8" fillId="0" borderId="66" xfId="0" applyFont="1" applyBorder="1" applyAlignment="1">
      <alignment horizontal="left" wrapText="1"/>
    </xf>
    <xf numFmtId="0" fontId="67" fillId="0" borderId="61" xfId="0" applyFont="1" applyBorder="1" applyAlignment="1">
      <alignment vertical="center"/>
    </xf>
    <xf numFmtId="0" fontId="67" fillId="0" borderId="62" xfId="0" applyFont="1" applyBorder="1" applyAlignment="1">
      <alignment vertical="center"/>
    </xf>
    <xf numFmtId="0" fontId="10" fillId="0" borderId="87" xfId="0" applyFont="1" applyBorder="1" applyAlignment="1">
      <alignment horizontal="center"/>
    </xf>
    <xf numFmtId="0" fontId="8" fillId="0" borderId="78" xfId="0" applyFont="1" applyBorder="1" applyAlignment="1">
      <alignment horizontal="center"/>
    </xf>
    <xf numFmtId="0" fontId="8" fillId="0" borderId="79" xfId="0" applyFont="1" applyBorder="1" applyAlignment="1">
      <alignment horizontal="center"/>
    </xf>
    <xf numFmtId="0" fontId="8" fillId="0" borderId="80" xfId="0" applyFont="1" applyBorder="1" applyAlignment="1">
      <alignment horizontal="center"/>
    </xf>
    <xf numFmtId="0" fontId="67" fillId="0" borderId="21" xfId="0" applyFont="1" applyBorder="1" applyAlignment="1">
      <alignment horizontal="right"/>
    </xf>
    <xf numFmtId="0" fontId="67" fillId="0" borderId="20" xfId="0" applyFont="1" applyBorder="1" applyAlignment="1">
      <alignment horizontal="right"/>
    </xf>
    <xf numFmtId="0" fontId="67" fillId="0" borderId="19" xfId="0" applyFont="1" applyBorder="1" applyAlignment="1">
      <alignment horizontal="right"/>
    </xf>
    <xf numFmtId="2" fontId="8" fillId="0" borderId="61" xfId="0" applyNumberFormat="1" applyFont="1" applyBorder="1" applyAlignment="1">
      <alignment horizontal="center" wrapText="1"/>
    </xf>
    <xf numFmtId="2" fontId="8" fillId="0" borderId="62" xfId="0" applyNumberFormat="1" applyFont="1" applyBorder="1" applyAlignment="1">
      <alignment horizontal="center" wrapText="1"/>
    </xf>
    <xf numFmtId="0" fontId="8" fillId="0" borderId="89" xfId="0" applyFont="1" applyBorder="1" applyAlignment="1">
      <alignment horizontal="left"/>
    </xf>
    <xf numFmtId="0" fontId="8" fillId="0" borderId="90" xfId="0" applyFont="1" applyBorder="1" applyAlignment="1">
      <alignment horizontal="left"/>
    </xf>
    <xf numFmtId="0" fontId="8" fillId="0" borderId="91" xfId="0" applyFont="1" applyBorder="1" applyAlignment="1">
      <alignment horizontal="left"/>
    </xf>
    <xf numFmtId="0" fontId="10" fillId="0" borderId="73" xfId="0" applyFont="1" applyBorder="1" applyAlignment="1">
      <alignment vertical="center"/>
    </xf>
    <xf numFmtId="0" fontId="10" fillId="0" borderId="17" xfId="0" applyFont="1" applyBorder="1" applyAlignment="1">
      <alignment vertical="center"/>
    </xf>
    <xf numFmtId="0" fontId="8" fillId="0" borderId="5" xfId="0" applyFont="1" applyBorder="1" applyAlignment="1">
      <alignment horizontal="left" wrapText="1"/>
    </xf>
    <xf numFmtId="0" fontId="10" fillId="0" borderId="14" xfId="0" applyFont="1" applyBorder="1" applyAlignment="1">
      <alignment vertical="center" wrapText="1"/>
    </xf>
    <xf numFmtId="0" fontId="8" fillId="0" borderId="82" xfId="0" applyFont="1" applyBorder="1" applyAlignment="1">
      <alignment horizontal="center" vertical="center" wrapText="1"/>
    </xf>
    <xf numFmtId="0" fontId="8" fillId="0" borderId="13" xfId="0" applyFont="1" applyBorder="1" applyAlignment="1">
      <alignment horizontal="center" vertical="center" wrapText="1"/>
    </xf>
    <xf numFmtId="44" fontId="8" fillId="0" borderId="86" xfId="0" applyNumberFormat="1" applyFont="1" applyBorder="1" applyAlignment="1">
      <alignment horizontal="left" wrapText="1"/>
    </xf>
    <xf numFmtId="0" fontId="12" fillId="0" borderId="61" xfId="0" applyFont="1" applyBorder="1" applyAlignment="1">
      <alignment horizontal="left" wrapText="1"/>
    </xf>
    <xf numFmtId="0" fontId="12" fillId="0" borderId="60" xfId="0" applyFont="1" applyBorder="1" applyAlignment="1">
      <alignment horizontal="left" wrapText="1"/>
    </xf>
    <xf numFmtId="0" fontId="12" fillId="0" borderId="62" xfId="0" applyFont="1" applyBorder="1" applyAlignment="1">
      <alignment horizontal="left" wrapText="1"/>
    </xf>
    <xf numFmtId="0" fontId="12" fillId="0" borderId="83" xfId="0" applyFont="1" applyBorder="1" applyAlignment="1">
      <alignment horizontal="left" wrapText="1"/>
    </xf>
    <xf numFmtId="0" fontId="12" fillId="0" borderId="81" xfId="0" applyFont="1" applyBorder="1" applyAlignment="1">
      <alignment horizontal="left" wrapText="1"/>
    </xf>
    <xf numFmtId="0" fontId="12" fillId="0" borderId="82" xfId="0" applyFont="1" applyBorder="1" applyAlignment="1">
      <alignment horizontal="left" wrapText="1"/>
    </xf>
    <xf numFmtId="0" fontId="8" fillId="0" borderId="18" xfId="0" applyFont="1" applyBorder="1" applyAlignment="1">
      <alignment horizontal="left"/>
    </xf>
    <xf numFmtId="0" fontId="8" fillId="0" borderId="20" xfId="0" applyFont="1" applyBorder="1" applyAlignment="1">
      <alignment horizontal="left"/>
    </xf>
    <xf numFmtId="0" fontId="8" fillId="0" borderId="26" xfId="0" applyFont="1" applyBorder="1" applyAlignment="1">
      <alignment horizontal="left"/>
    </xf>
    <xf numFmtId="0" fontId="8" fillId="0" borderId="12" xfId="0" applyFont="1" applyBorder="1" applyAlignment="1">
      <alignment horizontal="left" wrapText="1"/>
    </xf>
    <xf numFmtId="0" fontId="8" fillId="0" borderId="1" xfId="0" applyFont="1" applyBorder="1" applyAlignment="1">
      <alignment horizontal="left" wrapText="1"/>
    </xf>
    <xf numFmtId="0" fontId="8" fillId="0" borderId="13" xfId="0" applyFont="1" applyBorder="1" applyAlignment="1">
      <alignment horizontal="left" wrapText="1"/>
    </xf>
    <xf numFmtId="0" fontId="8" fillId="0" borderId="56"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89" xfId="0" applyFont="1" applyBorder="1" applyAlignment="1">
      <alignment horizontal="center" vertical="top" wrapText="1"/>
    </xf>
    <xf numFmtId="0" fontId="8" fillId="0" borderId="90" xfId="0" applyFont="1" applyBorder="1" applyAlignment="1">
      <alignment horizontal="center" vertical="top" wrapText="1"/>
    </xf>
    <xf numFmtId="0" fontId="8" fillId="0" borderId="61" xfId="0" applyFont="1" applyBorder="1" applyAlignment="1">
      <alignment horizontal="center"/>
    </xf>
    <xf numFmtId="0" fontId="8" fillId="0" borderId="62" xfId="0" applyFont="1" applyBorder="1"/>
    <xf numFmtId="0" fontId="10" fillId="0" borderId="7" xfId="0" applyFont="1" applyBorder="1" applyAlignment="1">
      <alignment horizontal="center" vertical="center" wrapText="1"/>
    </xf>
    <xf numFmtId="0" fontId="8" fillId="0" borderId="61" xfId="0" applyFont="1" applyBorder="1" applyAlignment="1">
      <alignment horizontal="center" wrapText="1"/>
    </xf>
    <xf numFmtId="0" fontId="8" fillId="0" borderId="60" xfId="0" applyFont="1" applyBorder="1" applyAlignment="1">
      <alignment horizontal="center" wrapText="1"/>
    </xf>
    <xf numFmtId="0" fontId="8" fillId="0" borderId="62" xfId="0" applyFont="1" applyBorder="1" applyAlignment="1">
      <alignment horizontal="center" wrapText="1"/>
    </xf>
    <xf numFmtId="0" fontId="10" fillId="0" borderId="84" xfId="0" applyFont="1" applyBorder="1" applyAlignment="1">
      <alignment horizontal="center" vertical="center"/>
    </xf>
    <xf numFmtId="0" fontId="8" fillId="0" borderId="66" xfId="0" applyFont="1" applyBorder="1" applyAlignment="1">
      <alignment horizontal="center" vertical="center" wrapText="1"/>
    </xf>
    <xf numFmtId="0" fontId="8" fillId="0" borderId="66" xfId="0" applyFont="1" applyBorder="1" applyAlignment="1">
      <alignment horizontal="right" wrapText="1"/>
    </xf>
    <xf numFmtId="0" fontId="10" fillId="0" borderId="86" xfId="0" applyFont="1" applyBorder="1" applyAlignment="1">
      <alignment horizontal="left"/>
    </xf>
    <xf numFmtId="0" fontId="8" fillId="0" borderId="17" xfId="0" applyFont="1" applyBorder="1" applyAlignment="1">
      <alignment horizontal="left" vertical="top" wrapText="1"/>
    </xf>
    <xf numFmtId="165" fontId="10" fillId="0" borderId="102" xfId="0" applyNumberFormat="1" applyFont="1" applyBorder="1" applyAlignment="1">
      <alignment horizontal="right"/>
    </xf>
    <xf numFmtId="165" fontId="10" fillId="0" borderId="103" xfId="0" applyNumberFormat="1" applyFont="1" applyBorder="1" applyAlignment="1">
      <alignment horizontal="right"/>
    </xf>
    <xf numFmtId="165" fontId="10" fillId="0" borderId="104" xfId="0" applyNumberFormat="1" applyFont="1" applyBorder="1" applyAlignment="1">
      <alignment horizontal="right"/>
    </xf>
    <xf numFmtId="165" fontId="10" fillId="0" borderId="61" xfId="0" applyNumberFormat="1" applyFont="1" applyBorder="1" applyAlignment="1">
      <alignment horizontal="right"/>
    </xf>
    <xf numFmtId="165" fontId="10" fillId="0" borderId="60" xfId="0" applyNumberFormat="1" applyFont="1" applyBorder="1" applyAlignment="1">
      <alignment horizontal="right"/>
    </xf>
    <xf numFmtId="165" fontId="10" fillId="0" borderId="62" xfId="0" applyNumberFormat="1" applyFont="1" applyBorder="1" applyAlignment="1">
      <alignment horizontal="right"/>
    </xf>
    <xf numFmtId="0" fontId="14" fillId="0" borderId="61" xfId="0" applyFont="1" applyBorder="1" applyAlignment="1">
      <alignment horizontal="left"/>
    </xf>
    <xf numFmtId="0" fontId="14" fillId="0" borderId="60" xfId="0" applyFont="1" applyBorder="1" applyAlignment="1">
      <alignment horizontal="left"/>
    </xf>
    <xf numFmtId="0" fontId="14" fillId="0" borderId="62" xfId="0" applyFont="1" applyBorder="1" applyAlignment="1">
      <alignment horizontal="left"/>
    </xf>
    <xf numFmtId="0" fontId="14" fillId="0" borderId="61" xfId="0" applyFont="1" applyBorder="1" applyAlignment="1">
      <alignment horizontal="left" vertical="top" wrapText="1"/>
    </xf>
    <xf numFmtId="0" fontId="14" fillId="0" borderId="60" xfId="0" applyFont="1" applyBorder="1" applyAlignment="1">
      <alignment horizontal="left" vertical="top" wrapText="1"/>
    </xf>
    <xf numFmtId="0" fontId="14" fillId="0" borderId="62" xfId="0" applyFont="1" applyBorder="1" applyAlignment="1">
      <alignment horizontal="left" vertical="top" wrapText="1"/>
    </xf>
    <xf numFmtId="0" fontId="10" fillId="0" borderId="24" xfId="0" applyFont="1" applyBorder="1" applyAlignment="1">
      <alignment vertical="center"/>
    </xf>
    <xf numFmtId="0" fontId="10" fillId="0" borderId="22" xfId="0" applyFont="1" applyBorder="1" applyAlignment="1">
      <alignment vertical="center"/>
    </xf>
    <xf numFmtId="0" fontId="67" fillId="0" borderId="61" xfId="0" applyFont="1" applyBorder="1" applyAlignment="1">
      <alignment horizontal="left" vertical="center"/>
    </xf>
    <xf numFmtId="0" fontId="67" fillId="0" borderId="62" xfId="0" applyFont="1" applyBorder="1" applyAlignment="1">
      <alignment horizontal="left" vertical="center"/>
    </xf>
    <xf numFmtId="0" fontId="8" fillId="0" borderId="61" xfId="0" applyFont="1" applyBorder="1" applyAlignment="1">
      <alignment horizontal="right"/>
    </xf>
    <xf numFmtId="166" fontId="8" fillId="0" borderId="61" xfId="0" applyNumberFormat="1" applyFont="1" applyBorder="1" applyAlignment="1">
      <alignment horizontal="center" vertical="center"/>
    </xf>
    <xf numFmtId="166" fontId="8" fillId="0" borderId="62" xfId="0" applyNumberFormat="1" applyFont="1" applyBorder="1" applyAlignment="1">
      <alignment horizontal="center" vertical="center"/>
    </xf>
    <xf numFmtId="0" fontId="12" fillId="0" borderId="61" xfId="0" applyFont="1" applyBorder="1" applyAlignment="1">
      <alignment horizontal="left"/>
    </xf>
    <xf numFmtId="0" fontId="12" fillId="0" borderId="60" xfId="0" applyFont="1" applyBorder="1" applyAlignment="1">
      <alignment horizontal="left"/>
    </xf>
    <xf numFmtId="0" fontId="12" fillId="0" borderId="62" xfId="0" applyFont="1" applyBorder="1" applyAlignment="1">
      <alignment horizontal="left"/>
    </xf>
    <xf numFmtId="0" fontId="10" fillId="0" borderId="108" xfId="0" applyFont="1" applyBorder="1" applyAlignment="1">
      <alignment horizontal="right"/>
    </xf>
    <xf numFmtId="0" fontId="10" fillId="0" borderId="109" xfId="0" applyFont="1" applyBorder="1" applyAlignment="1">
      <alignment horizontal="right"/>
    </xf>
    <xf numFmtId="0" fontId="10" fillId="0" borderId="110" xfId="0" applyFont="1" applyBorder="1" applyAlignment="1">
      <alignment horizontal="right"/>
    </xf>
    <xf numFmtId="44" fontId="8" fillId="0" borderId="86" xfId="0" applyNumberFormat="1" applyFont="1" applyBorder="1" applyAlignment="1">
      <alignment horizontal="center" wrapText="1"/>
    </xf>
    <xf numFmtId="0" fontId="0" fillId="0" borderId="86" xfId="0" applyBorder="1" applyAlignment="1">
      <alignment horizontal="left"/>
    </xf>
    <xf numFmtId="0" fontId="8" fillId="0" borderId="60" xfId="0" applyFont="1" applyBorder="1" applyAlignment="1">
      <alignment horizontal="center"/>
    </xf>
    <xf numFmtId="0" fontId="8" fillId="0" borderId="62" xfId="0" applyFont="1" applyBorder="1" applyAlignment="1">
      <alignment horizontal="center"/>
    </xf>
    <xf numFmtId="0" fontId="10" fillId="0" borderId="0" xfId="0" applyFont="1" applyAlignment="1">
      <alignment horizontal="center" wrapText="1"/>
    </xf>
    <xf numFmtId="0" fontId="10" fillId="0" borderId="0" xfId="0" applyFont="1" applyAlignment="1">
      <alignment horizontal="center"/>
    </xf>
    <xf numFmtId="44" fontId="8" fillId="0" borderId="0" xfId="0" applyNumberFormat="1" applyFont="1" applyAlignment="1">
      <alignment horizontal="left" wrapText="1"/>
    </xf>
    <xf numFmtId="166" fontId="8" fillId="0" borderId="0" xfId="0" applyNumberFormat="1" applyFont="1" applyAlignment="1">
      <alignment horizontal="center" wrapText="1"/>
    </xf>
    <xf numFmtId="0" fontId="10" fillId="0" borderId="0" xfId="0" applyFont="1" applyAlignment="1">
      <alignment vertical="center"/>
    </xf>
    <xf numFmtId="165" fontId="8" fillId="0" borderId="61" xfId="1" applyNumberFormat="1" applyFont="1" applyFill="1" applyBorder="1" applyAlignment="1">
      <alignment horizontal="right" vertical="center" wrapText="1"/>
    </xf>
    <xf numFmtId="165" fontId="8" fillId="0" borderId="62" xfId="1" applyNumberFormat="1" applyFont="1" applyFill="1" applyBorder="1" applyAlignment="1">
      <alignment horizontal="right" vertical="center" wrapText="1"/>
    </xf>
    <xf numFmtId="0" fontId="8" fillId="0" borderId="83" xfId="0" applyFont="1" applyBorder="1" applyAlignment="1">
      <alignment horizontal="left" wrapText="1"/>
    </xf>
    <xf numFmtId="0" fontId="8" fillId="0" borderId="81" xfId="0" applyFont="1" applyBorder="1" applyAlignment="1">
      <alignment horizontal="left"/>
    </xf>
    <xf numFmtId="0" fontId="77" fillId="0" borderId="14" xfId="0" applyFont="1" applyBorder="1" applyAlignment="1">
      <alignment horizontal="center" vertical="top" wrapText="1"/>
    </xf>
    <xf numFmtId="0" fontId="77" fillId="0" borderId="15" xfId="0" applyFont="1" applyBorder="1" applyAlignment="1">
      <alignment horizontal="center" vertical="top" wrapText="1"/>
    </xf>
    <xf numFmtId="7" fontId="8" fillId="0" borderId="64" xfId="0" applyNumberFormat="1" applyFont="1" applyBorder="1" applyAlignment="1">
      <alignment horizontal="center" wrapText="1"/>
    </xf>
    <xf numFmtId="166" fontId="8" fillId="0" borderId="83" xfId="0" applyNumberFormat="1" applyFont="1" applyBorder="1" applyAlignment="1">
      <alignment horizontal="center" wrapText="1"/>
    </xf>
    <xf numFmtId="166" fontId="8" fillId="0" borderId="82" xfId="0" applyNumberFormat="1" applyFont="1" applyBorder="1" applyAlignment="1">
      <alignment horizont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1" xfId="0" applyFont="1" applyBorder="1" applyAlignment="1">
      <alignment horizontal="left" wrapText="1"/>
    </xf>
    <xf numFmtId="0" fontId="8" fillId="0" borderId="21" xfId="0" applyFont="1" applyBorder="1" applyAlignment="1">
      <alignment horizontal="left" wrapText="1"/>
    </xf>
    <xf numFmtId="0" fontId="8" fillId="0" borderId="20" xfId="0" applyFont="1" applyBorder="1" applyAlignment="1">
      <alignment horizontal="left" wrapText="1"/>
    </xf>
    <xf numFmtId="0" fontId="8" fillId="0" borderId="19" xfId="0" applyFont="1" applyBorder="1" applyAlignment="1">
      <alignment horizontal="left" wrapText="1"/>
    </xf>
    <xf numFmtId="166" fontId="8" fillId="0" borderId="86" xfId="0" applyNumberFormat="1" applyFont="1" applyBorder="1" applyAlignment="1">
      <alignment horizontal="center" wrapText="1"/>
    </xf>
    <xf numFmtId="0" fontId="8" fillId="0" borderId="64" xfId="0" applyFont="1" applyBorder="1" applyAlignment="1">
      <alignment horizontal="left" vertical="center" wrapText="1"/>
    </xf>
    <xf numFmtId="0" fontId="10" fillId="0" borderId="86" xfId="0" applyFont="1" applyBorder="1" applyAlignment="1">
      <alignment horizontal="center"/>
    </xf>
    <xf numFmtId="0" fontId="8" fillId="0" borderId="89" xfId="0" applyFont="1" applyBorder="1" applyAlignment="1">
      <alignment horizontal="center" wrapText="1"/>
    </xf>
    <xf numFmtId="0" fontId="8" fillId="0" borderId="90" xfId="0" applyFont="1" applyBorder="1" applyAlignment="1">
      <alignment horizontal="center" wrapText="1"/>
    </xf>
    <xf numFmtId="0" fontId="8" fillId="0" borderId="91" xfId="0" applyFont="1" applyBorder="1" applyAlignment="1">
      <alignment horizontal="center" wrapText="1"/>
    </xf>
    <xf numFmtId="44" fontId="8" fillId="0" borderId="83" xfId="2" applyFont="1" applyFill="1" applyBorder="1" applyAlignment="1">
      <alignment horizontal="center" vertical="center" wrapText="1"/>
    </xf>
    <xf numFmtId="44" fontId="8" fillId="0" borderId="81" xfId="2" applyFont="1" applyFill="1" applyBorder="1" applyAlignment="1">
      <alignment horizontal="center" vertical="center" wrapText="1"/>
    </xf>
    <xf numFmtId="0" fontId="72" fillId="0" borderId="0" xfId="0" applyFont="1" applyAlignment="1">
      <alignment horizontal="left" vertical="center"/>
    </xf>
    <xf numFmtId="0" fontId="8" fillId="0" borderId="61" xfId="0" applyFont="1" applyBorder="1" applyAlignment="1">
      <alignment horizontal="left" vertical="top"/>
    </xf>
    <xf numFmtId="0" fontId="8" fillId="0" borderId="60" xfId="0" applyFont="1" applyBorder="1" applyAlignment="1">
      <alignment horizontal="left" vertical="top"/>
    </xf>
    <xf numFmtId="0" fontId="8" fillId="0" borderId="62" xfId="0" applyFont="1" applyBorder="1" applyAlignment="1">
      <alignment horizontal="left" vertical="top"/>
    </xf>
    <xf numFmtId="7" fontId="8" fillId="0" borderId="21" xfId="0" applyNumberFormat="1" applyFont="1" applyBorder="1" applyAlignment="1">
      <alignment horizontal="center" wrapText="1"/>
    </xf>
    <xf numFmtId="7" fontId="8" fillId="0" borderId="20" xfId="0" applyNumberFormat="1" applyFont="1" applyBorder="1" applyAlignment="1">
      <alignment horizontal="center" wrapText="1"/>
    </xf>
    <xf numFmtId="7" fontId="8" fillId="0" borderId="19" xfId="0" applyNumberFormat="1" applyFont="1" applyBorder="1" applyAlignment="1">
      <alignment horizontal="center" wrapText="1"/>
    </xf>
    <xf numFmtId="0" fontId="10" fillId="0" borderId="60" xfId="0" applyFont="1" applyBorder="1" applyAlignment="1">
      <alignment horizontal="center"/>
    </xf>
    <xf numFmtId="2" fontId="8" fillId="0" borderId="61" xfId="0" applyNumberFormat="1" applyFont="1" applyBorder="1" applyAlignment="1">
      <alignment horizontal="center" vertical="center" wrapText="1"/>
    </xf>
    <xf numFmtId="2" fontId="8" fillId="0" borderId="62" xfId="0" applyNumberFormat="1" applyFont="1" applyBorder="1" applyAlignment="1">
      <alignment horizontal="center" vertical="center" wrapText="1"/>
    </xf>
    <xf numFmtId="0" fontId="8" fillId="0" borderId="86" xfId="0" quotePrefix="1" applyFont="1" applyBorder="1" applyAlignment="1">
      <alignment horizontal="left" vertical="top" wrapText="1"/>
    </xf>
    <xf numFmtId="0" fontId="8" fillId="0" borderId="86" xfId="0" applyFont="1" applyBorder="1" applyAlignment="1">
      <alignment horizontal="left" vertical="top"/>
    </xf>
    <xf numFmtId="0" fontId="8" fillId="0" borderId="61" xfId="0" quotePrefix="1" applyFont="1" applyBorder="1" applyAlignment="1">
      <alignment horizontal="left" vertical="top" wrapText="1"/>
    </xf>
    <xf numFmtId="0" fontId="8" fillId="0" borderId="60" xfId="0" quotePrefix="1" applyFont="1" applyBorder="1" applyAlignment="1">
      <alignment horizontal="left" vertical="top" wrapText="1"/>
    </xf>
    <xf numFmtId="0" fontId="8" fillId="0" borderId="62" xfId="0" quotePrefix="1"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166" fontId="8" fillId="0" borderId="97" xfId="0" applyNumberFormat="1" applyFont="1" applyBorder="1" applyAlignment="1">
      <alignment horizontal="center" wrapText="1"/>
    </xf>
    <xf numFmtId="166" fontId="8" fillId="0" borderId="99" xfId="0" applyNumberFormat="1" applyFont="1" applyBorder="1" applyAlignment="1">
      <alignment horizontal="center" wrapText="1"/>
    </xf>
    <xf numFmtId="0" fontId="8" fillId="0" borderId="89" xfId="0" applyFont="1" applyBorder="1" applyAlignment="1">
      <alignment horizontal="left" vertical="top" wrapText="1"/>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10" fillId="0" borderId="2" xfId="0" applyFont="1" applyBorder="1" applyAlignment="1">
      <alignment horizontal="center" vertical="top" wrapText="1"/>
    </xf>
    <xf numFmtId="0" fontId="10" fillId="0" borderId="22" xfId="0" applyFont="1" applyBorder="1" applyAlignment="1">
      <alignment horizontal="center" vertical="top" wrapText="1"/>
    </xf>
    <xf numFmtId="0" fontId="8" fillId="0" borderId="93" xfId="0" applyFont="1" applyBorder="1" applyAlignment="1">
      <alignment horizontal="left" wrapText="1"/>
    </xf>
    <xf numFmtId="44" fontId="8" fillId="0" borderId="61" xfId="0" applyNumberFormat="1" applyFont="1" applyBorder="1" applyAlignment="1">
      <alignment horizontal="left" wrapText="1"/>
    </xf>
    <xf numFmtId="44" fontId="8" fillId="0" borderId="60" xfId="0" applyNumberFormat="1" applyFont="1" applyBorder="1" applyAlignment="1">
      <alignment horizontal="left" wrapText="1"/>
    </xf>
    <xf numFmtId="44" fontId="8" fillId="0" borderId="62" xfId="0" applyNumberFormat="1" applyFont="1" applyBorder="1" applyAlignment="1">
      <alignment horizontal="left" wrapText="1"/>
    </xf>
    <xf numFmtId="164" fontId="8" fillId="0" borderId="86" xfId="0" applyNumberFormat="1" applyFont="1" applyBorder="1" applyAlignment="1">
      <alignment horizontal="center" wrapText="1"/>
    </xf>
    <xf numFmtId="166" fontId="8" fillId="0" borderId="93" xfId="0" applyNumberFormat="1" applyFont="1" applyBorder="1" applyAlignment="1">
      <alignment horizontal="center" wrapText="1"/>
    </xf>
    <xf numFmtId="0" fontId="14" fillId="0" borderId="61" xfId="0" applyFont="1" applyBorder="1" applyAlignment="1">
      <alignment horizontal="left" wrapText="1"/>
    </xf>
    <xf numFmtId="0" fontId="14" fillId="0" borderId="60" xfId="0" applyFont="1" applyBorder="1" applyAlignment="1">
      <alignment horizontal="left" wrapText="1"/>
    </xf>
    <xf numFmtId="0" fontId="14" fillId="0" borderId="62" xfId="0" applyFont="1" applyBorder="1" applyAlignment="1">
      <alignment horizontal="left" wrapText="1"/>
    </xf>
    <xf numFmtId="0" fontId="14" fillId="0" borderId="86" xfId="0" applyFont="1" applyBorder="1" applyAlignment="1">
      <alignment horizontal="left" wrapText="1"/>
    </xf>
    <xf numFmtId="0" fontId="67" fillId="0" borderId="9"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166" fontId="8" fillId="0" borderId="60" xfId="0" applyNumberFormat="1" applyFont="1" applyBorder="1" applyAlignment="1">
      <alignment horizontal="center" vertical="center" wrapText="1"/>
    </xf>
    <xf numFmtId="0" fontId="8" fillId="0" borderId="61"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86" xfId="0" applyFont="1" applyBorder="1" applyAlignment="1">
      <alignment horizontal="left" vertical="center" wrapText="1"/>
    </xf>
    <xf numFmtId="166" fontId="8" fillId="0" borderId="97" xfId="0" applyNumberFormat="1" applyFont="1" applyBorder="1" applyAlignment="1">
      <alignment horizontal="left" wrapText="1"/>
    </xf>
    <xf numFmtId="166" fontId="8" fillId="0" borderId="99" xfId="0" applyNumberFormat="1" applyFont="1" applyBorder="1" applyAlignment="1">
      <alignment horizontal="left" wrapText="1"/>
    </xf>
    <xf numFmtId="0" fontId="8" fillId="0" borderId="61" xfId="0" applyFont="1" applyBorder="1" applyAlignment="1">
      <alignment horizontal="center" vertical="center" wrapText="1"/>
    </xf>
    <xf numFmtId="0" fontId="8" fillId="0" borderId="86" xfId="0" applyFont="1" applyBorder="1" applyAlignment="1">
      <alignment horizontal="left" vertical="center"/>
    </xf>
    <xf numFmtId="0" fontId="8" fillId="0" borderId="61" xfId="0" applyFont="1" applyBorder="1" applyAlignment="1">
      <alignment horizontal="left"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8" fillId="0" borderId="64" xfId="0" applyFont="1" applyBorder="1" applyAlignment="1">
      <alignment horizontal="left"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44" fontId="8" fillId="0" borderId="64" xfId="0" applyNumberFormat="1" applyFont="1" applyBorder="1" applyAlignment="1">
      <alignment horizontal="left" wrapText="1"/>
    </xf>
    <xf numFmtId="0" fontId="12" fillId="0" borderId="61" xfId="0" quotePrefix="1" applyFont="1" applyBorder="1" applyAlignment="1">
      <alignment wrapText="1"/>
    </xf>
    <xf numFmtId="0" fontId="12" fillId="0" borderId="60" xfId="0" applyFont="1" applyBorder="1" applyAlignment="1">
      <alignment wrapText="1"/>
    </xf>
    <xf numFmtId="0" fontId="12" fillId="0" borderId="65" xfId="0" applyFont="1" applyBorder="1" applyAlignment="1">
      <alignment wrapText="1"/>
    </xf>
    <xf numFmtId="0" fontId="12" fillId="0" borderId="61" xfId="0" quotePrefix="1" applyFont="1" applyBorder="1"/>
    <xf numFmtId="0" fontId="12" fillId="0" borderId="60" xfId="0" applyFont="1" applyBorder="1"/>
    <xf numFmtId="0" fontId="12" fillId="0" borderId="65" xfId="0" applyFont="1" applyBorder="1"/>
    <xf numFmtId="0" fontId="10" fillId="0" borderId="60"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64" xfId="0" applyFont="1" applyBorder="1" applyAlignment="1">
      <alignment horizontal="left" wrapText="1"/>
    </xf>
    <xf numFmtId="0" fontId="8" fillId="0" borderId="66" xfId="0" applyFont="1" applyBorder="1" applyAlignment="1">
      <alignment horizontal="left" vertical="center" wrapText="1"/>
    </xf>
    <xf numFmtId="166" fontId="8" fillId="0" borderId="86" xfId="0" applyNumberFormat="1" applyFont="1" applyBorder="1" applyAlignment="1">
      <alignment horizontal="center" vertical="center" wrapText="1"/>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8" fillId="0" borderId="61" xfId="0" quotePrefix="1" applyFont="1" applyBorder="1" applyAlignment="1">
      <alignment horizontal="left"/>
    </xf>
    <xf numFmtId="0" fontId="8" fillId="0" borderId="74" xfId="0" applyFont="1" applyBorder="1" applyAlignment="1">
      <alignment horizontal="center" vertical="center" wrapText="1"/>
    </xf>
    <xf numFmtId="0" fontId="8" fillId="0" borderId="93" xfId="0" applyFont="1" applyBorder="1" applyAlignment="1">
      <alignment horizontal="left"/>
    </xf>
    <xf numFmtId="166" fontId="8" fillId="0" borderId="93" xfId="0" applyNumberFormat="1" applyFont="1" applyBorder="1" applyAlignment="1">
      <alignment horizontal="center"/>
    </xf>
    <xf numFmtId="0" fontId="8" fillId="0" borderId="66" xfId="0" applyFont="1" applyBorder="1" applyAlignment="1">
      <alignment horizontal="left"/>
    </xf>
    <xf numFmtId="0" fontId="8" fillId="0" borderId="61" xfId="0" applyFont="1" applyBorder="1"/>
    <xf numFmtId="0" fontId="8" fillId="0" borderId="60" xfId="0" applyFont="1" applyBorder="1"/>
    <xf numFmtId="0" fontId="68" fillId="0" borderId="12" xfId="0" applyFont="1" applyBorder="1" applyAlignment="1">
      <alignment horizontal="left"/>
    </xf>
    <xf numFmtId="0" fontId="10" fillId="0" borderId="1" xfId="0" applyFont="1" applyBorder="1" applyAlignment="1">
      <alignment horizontal="left"/>
    </xf>
    <xf numFmtId="0" fontId="10" fillId="0" borderId="13" xfId="0" applyFont="1" applyBorder="1" applyAlignment="1">
      <alignment horizontal="left"/>
    </xf>
    <xf numFmtId="0" fontId="10" fillId="0" borderId="73" xfId="0" applyFont="1" applyBorder="1" applyAlignment="1">
      <alignment horizontal="center"/>
    </xf>
    <xf numFmtId="0" fontId="10" fillId="0" borderId="17" xfId="0" applyFont="1" applyBorder="1" applyAlignment="1">
      <alignment horizontal="center"/>
    </xf>
    <xf numFmtId="166" fontId="8" fillId="0" borderId="86" xfId="0" applyNumberFormat="1" applyFont="1" applyBorder="1" applyAlignment="1">
      <alignment horizontal="center" vertical="center"/>
    </xf>
    <xf numFmtId="0" fontId="10" fillId="0" borderId="24" xfId="0" applyFont="1" applyBorder="1" applyAlignment="1">
      <alignment horizontal="center" vertical="center" wrapText="1"/>
    </xf>
    <xf numFmtId="0" fontId="8" fillId="0" borderId="83" xfId="0" applyFont="1" applyBorder="1" applyAlignment="1">
      <alignment horizontal="left"/>
    </xf>
    <xf numFmtId="0" fontId="67" fillId="0" borderId="61" xfId="0" applyFont="1" applyBorder="1" applyAlignment="1">
      <alignment horizontal="left" vertical="center" wrapText="1"/>
    </xf>
    <xf numFmtId="0" fontId="67" fillId="0" borderId="62" xfId="0" applyFont="1" applyBorder="1" applyAlignment="1">
      <alignment horizontal="left" vertical="center" wrapText="1"/>
    </xf>
    <xf numFmtId="165" fontId="8" fillId="0" borderId="61" xfId="1" applyNumberFormat="1" applyFont="1" applyFill="1" applyBorder="1" applyAlignment="1">
      <alignment horizontal="center" vertical="center"/>
    </xf>
    <xf numFmtId="165" fontId="8" fillId="0" borderId="62" xfId="1" applyNumberFormat="1" applyFont="1" applyFill="1" applyBorder="1" applyAlignment="1">
      <alignment horizontal="center" vertical="center"/>
    </xf>
    <xf numFmtId="0" fontId="10" fillId="0" borderId="66" xfId="0" applyFont="1" applyBorder="1" applyAlignment="1">
      <alignment horizontal="center" wrapText="1"/>
    </xf>
    <xf numFmtId="0" fontId="10" fillId="0" borderId="89" xfId="0" applyFont="1" applyBorder="1" applyAlignment="1">
      <alignment horizontal="right"/>
    </xf>
    <xf numFmtId="0" fontId="10" fillId="0" borderId="90" xfId="0" applyFont="1" applyBorder="1" applyAlignment="1">
      <alignment horizontal="right"/>
    </xf>
    <xf numFmtId="0" fontId="10" fillId="0" borderId="91" xfId="0" applyFont="1" applyBorder="1" applyAlignment="1">
      <alignment horizontal="right"/>
    </xf>
    <xf numFmtId="0" fontId="10" fillId="0" borderId="66" xfId="0" applyFont="1" applyBorder="1" applyAlignment="1">
      <alignment horizontal="center"/>
    </xf>
    <xf numFmtId="0" fontId="8" fillId="0" borderId="78" xfId="0" applyFont="1" applyBorder="1" applyAlignment="1">
      <alignment horizontal="left"/>
    </xf>
    <xf numFmtId="0" fontId="8" fillId="0" borderId="79" xfId="0" applyFont="1" applyBorder="1" applyAlignment="1">
      <alignment horizontal="left"/>
    </xf>
    <xf numFmtId="0" fontId="8" fillId="0" borderId="80" xfId="0" applyFont="1" applyBorder="1" applyAlignment="1">
      <alignment horizontal="left"/>
    </xf>
    <xf numFmtId="0" fontId="10" fillId="0" borderId="84"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18" xfId="0" applyFont="1" applyBorder="1" applyAlignment="1">
      <alignment horizontal="center"/>
    </xf>
    <xf numFmtId="0" fontId="8" fillId="0" borderId="20" xfId="0" applyFont="1" applyBorder="1" applyAlignment="1">
      <alignment horizontal="center"/>
    </xf>
    <xf numFmtId="0" fontId="8" fillId="0" borderId="26" xfId="0" applyFont="1" applyBorder="1" applyAlignment="1">
      <alignment horizontal="center"/>
    </xf>
    <xf numFmtId="0" fontId="8" fillId="0" borderId="83" xfId="0" applyFont="1" applyBorder="1" applyAlignment="1">
      <alignment horizontal="right" wrapText="1"/>
    </xf>
    <xf numFmtId="0" fontId="8" fillId="0" borderId="81" xfId="0" applyFont="1" applyBorder="1" applyAlignment="1">
      <alignment horizontal="right" wrapText="1"/>
    </xf>
    <xf numFmtId="0" fontId="8" fillId="0" borderId="82" xfId="0" applyFont="1" applyBorder="1" applyAlignment="1">
      <alignment horizontal="right" wrapText="1"/>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xf>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0" fillId="0" borderId="86" xfId="0" applyFont="1" applyBorder="1" applyAlignment="1">
      <alignment vertical="center"/>
    </xf>
    <xf numFmtId="0" fontId="10" fillId="0" borderId="61" xfId="0" applyFont="1" applyBorder="1" applyAlignment="1">
      <alignment horizontal="left" wrapText="1"/>
    </xf>
    <xf numFmtId="0" fontId="10" fillId="0" borderId="60" xfId="0" applyFont="1" applyBorder="1" applyAlignment="1">
      <alignment horizontal="left" wrapText="1"/>
    </xf>
    <xf numFmtId="0" fontId="10" fillId="0" borderId="62" xfId="0" applyFont="1" applyBorder="1" applyAlignment="1">
      <alignment horizontal="left" wrapText="1"/>
    </xf>
    <xf numFmtId="0" fontId="12" fillId="0" borderId="61" xfId="0" applyFont="1" applyBorder="1" applyAlignment="1">
      <alignment horizontal="left" vertical="top" wrapText="1"/>
    </xf>
    <xf numFmtId="0" fontId="12" fillId="0" borderId="60" xfId="0" applyFont="1" applyBorder="1" applyAlignment="1">
      <alignment horizontal="left" vertical="top" wrapText="1"/>
    </xf>
    <xf numFmtId="0" fontId="12" fillId="0" borderId="62" xfId="0" applyFont="1" applyBorder="1" applyAlignment="1">
      <alignment horizontal="left" vertical="top" wrapText="1"/>
    </xf>
    <xf numFmtId="0" fontId="10" fillId="0" borderId="7" xfId="0" applyFont="1" applyBorder="1" applyAlignment="1">
      <alignment horizontal="left"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0" fillId="0" borderId="60" xfId="0" applyFont="1" applyBorder="1" applyAlignment="1">
      <alignment horizontal="center" vertical="center"/>
    </xf>
    <xf numFmtId="172" fontId="8" fillId="0" borderId="61" xfId="0" applyNumberFormat="1" applyFont="1" applyBorder="1" applyAlignment="1">
      <alignment horizontal="center" wrapText="1"/>
    </xf>
    <xf numFmtId="172" fontId="8" fillId="0" borderId="62" xfId="0" applyNumberFormat="1"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14" fillId="0" borderId="97" xfId="0" applyFont="1" applyBorder="1" applyAlignment="1">
      <alignment horizontal="left" vertical="top" wrapText="1"/>
    </xf>
    <xf numFmtId="0" fontId="14" fillId="0" borderId="98" xfId="0" applyFont="1" applyBorder="1" applyAlignment="1">
      <alignment horizontal="left" vertical="top" wrapText="1"/>
    </xf>
    <xf numFmtId="0" fontId="14" fillId="0" borderId="99" xfId="0" applyFont="1" applyBorder="1" applyAlignment="1">
      <alignment horizontal="left" vertical="top" wrapText="1"/>
    </xf>
    <xf numFmtId="0" fontId="10" fillId="0" borderId="98" xfId="0" applyFont="1" applyBorder="1" applyAlignment="1">
      <alignment horizontal="left" wrapText="1"/>
    </xf>
    <xf numFmtId="0" fontId="10" fillId="0" borderId="99" xfId="0" applyFont="1" applyBorder="1" applyAlignment="1">
      <alignment horizontal="left" wrapText="1"/>
    </xf>
    <xf numFmtId="0" fontId="10" fillId="0" borderId="2" xfId="0" applyFont="1" applyBorder="1" applyAlignment="1">
      <alignment vertical="center" wrapText="1"/>
    </xf>
    <xf numFmtId="0" fontId="10" fillId="0" borderId="96" xfId="0" applyFont="1" applyBorder="1" applyAlignment="1">
      <alignment horizontal="center"/>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76" fillId="0" borderId="93" xfId="0" applyFont="1" applyBorder="1" applyAlignment="1">
      <alignment horizontal="left" wrapText="1"/>
    </xf>
    <xf numFmtId="44" fontId="8" fillId="0" borderId="61" xfId="2" applyFont="1" applyFill="1" applyBorder="1" applyAlignment="1">
      <alignment horizontal="center" vertical="center" wrapText="1"/>
    </xf>
    <xf numFmtId="44" fontId="8" fillId="0" borderId="60" xfId="2" applyFont="1" applyFill="1" applyBorder="1" applyAlignment="1">
      <alignment horizontal="center" vertical="center" wrapText="1"/>
    </xf>
    <xf numFmtId="0" fontId="10" fillId="0" borderId="24" xfId="0" applyFont="1" applyBorder="1" applyAlignment="1">
      <alignment horizontal="left" vertical="center"/>
    </xf>
    <xf numFmtId="0" fontId="10" fillId="0" borderId="22" xfId="0" applyFont="1" applyBorder="1" applyAlignment="1">
      <alignment horizontal="left" vertical="center"/>
    </xf>
    <xf numFmtId="0" fontId="10" fillId="0" borderId="7" xfId="0" applyFont="1" applyBorder="1" applyAlignment="1">
      <alignment horizontal="left" vertical="center"/>
    </xf>
    <xf numFmtId="0" fontId="72" fillId="0" borderId="102" xfId="0" applyFont="1" applyBorder="1" applyAlignment="1">
      <alignment horizontal="left" vertical="center"/>
    </xf>
    <xf numFmtId="0" fontId="72" fillId="0" borderId="103" xfId="0" applyFont="1" applyBorder="1" applyAlignment="1">
      <alignment horizontal="left" vertical="center"/>
    </xf>
    <xf numFmtId="0" fontId="72" fillId="0" borderId="104" xfId="0" applyFont="1" applyBorder="1" applyAlignment="1">
      <alignment horizontal="left" vertical="center"/>
    </xf>
    <xf numFmtId="0" fontId="12" fillId="0" borderId="72" xfId="0" applyFont="1" applyBorder="1" applyAlignment="1">
      <alignment horizontal="left" vertical="center"/>
    </xf>
    <xf numFmtId="0" fontId="12" fillId="0" borderId="69" xfId="0" applyFont="1" applyBorder="1" applyAlignment="1">
      <alignment horizontal="left" vertical="center"/>
    </xf>
    <xf numFmtId="0" fontId="67" fillId="0" borderId="2" xfId="0" applyFont="1" applyBorder="1" applyAlignment="1">
      <alignment horizontal="left" vertical="center" wrapText="1"/>
    </xf>
    <xf numFmtId="0" fontId="8" fillId="0" borderId="86" xfId="0" applyFont="1" applyBorder="1" applyAlignment="1">
      <alignment horizontal="left" vertical="top" wrapText="1"/>
    </xf>
    <xf numFmtId="0" fontId="67" fillId="0" borderId="7" xfId="0" applyFont="1" applyBorder="1" applyAlignment="1">
      <alignment horizontal="left" vertical="center" wrapText="1"/>
    </xf>
    <xf numFmtId="164" fontId="8" fillId="0" borderId="21" xfId="0" applyNumberFormat="1" applyFont="1" applyBorder="1" applyAlignment="1">
      <alignment horizontal="center" wrapText="1"/>
    </xf>
    <xf numFmtId="164" fontId="8" fillId="0" borderId="20" xfId="0" applyNumberFormat="1" applyFont="1" applyBorder="1" applyAlignment="1">
      <alignment horizontal="center" wrapText="1"/>
    </xf>
    <xf numFmtId="164" fontId="8" fillId="0" borderId="19" xfId="0" applyNumberFormat="1" applyFont="1" applyBorder="1" applyAlignment="1">
      <alignment horizontal="center" wrapText="1"/>
    </xf>
    <xf numFmtId="0" fontId="73" fillId="0" borderId="66" xfId="0" applyFont="1" applyBorder="1" applyAlignment="1">
      <alignment horizontal="left" vertical="center"/>
    </xf>
    <xf numFmtId="0" fontId="8" fillId="0" borderId="73" xfId="0" applyFont="1" applyBorder="1" applyAlignment="1">
      <alignment horizontal="left" wrapText="1"/>
    </xf>
    <xf numFmtId="0" fontId="8" fillId="0" borderId="0" xfId="0" applyFont="1" applyAlignment="1">
      <alignment horizontal="left" wrapText="1"/>
    </xf>
    <xf numFmtId="0" fontId="8" fillId="0" borderId="17" xfId="0" applyFont="1" applyBorder="1" applyAlignment="1">
      <alignment horizontal="left" wrapText="1"/>
    </xf>
    <xf numFmtId="0" fontId="12" fillId="0" borderId="1" xfId="0" applyFont="1" applyBorder="1" applyAlignment="1">
      <alignment horizontal="left" vertical="top"/>
    </xf>
    <xf numFmtId="0" fontId="10" fillId="0" borderId="60" xfId="0" applyFont="1" applyBorder="1" applyAlignment="1">
      <alignment horizontal="left" vertical="center" wrapText="1"/>
    </xf>
    <xf numFmtId="166" fontId="8" fillId="0" borderId="101" xfId="0" applyNumberFormat="1" applyFont="1" applyBorder="1" applyAlignment="1">
      <alignment horizontal="center" wrapText="1"/>
    </xf>
    <xf numFmtId="49" fontId="12" fillId="0" borderId="1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13" xfId="0" applyNumberFormat="1" applyFont="1" applyBorder="1" applyAlignment="1">
      <alignment horizontal="lef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49" fontId="12" fillId="0" borderId="61" xfId="0" applyNumberFormat="1" applyFont="1" applyBorder="1" applyAlignment="1">
      <alignment horizontal="left" vertical="center"/>
    </xf>
    <xf numFmtId="49" fontId="12" fillId="0" borderId="60" xfId="0" applyNumberFormat="1" applyFont="1" applyBorder="1" applyAlignment="1">
      <alignment horizontal="left" vertical="center"/>
    </xf>
    <xf numFmtId="49" fontId="12" fillId="0" borderId="62" xfId="0" applyNumberFormat="1" applyFont="1" applyBorder="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7" xfId="0" applyFont="1" applyBorder="1" applyAlignment="1">
      <alignment horizontal="left" vertical="center" wrapText="1"/>
    </xf>
    <xf numFmtId="0" fontId="10" fillId="0" borderId="7" xfId="0" applyFont="1" applyBorder="1" applyAlignment="1">
      <alignment vertical="center" wrapText="1"/>
    </xf>
    <xf numFmtId="0" fontId="72" fillId="0" borderId="93" xfId="0" applyFont="1" applyBorder="1" applyAlignment="1">
      <alignment horizontal="left" vertical="center"/>
    </xf>
    <xf numFmtId="44" fontId="8" fillId="0" borderId="101" xfId="0" applyNumberFormat="1" applyFont="1" applyBorder="1" applyAlignment="1">
      <alignment horizontal="left" wrapText="1"/>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2" fillId="0" borderId="66" xfId="0" applyFont="1" applyBorder="1" applyAlignment="1">
      <alignment horizontal="left" vertical="center"/>
    </xf>
    <xf numFmtId="44" fontId="8" fillId="0" borderId="7" xfId="0" applyNumberFormat="1" applyFont="1" applyBorder="1" applyAlignment="1">
      <alignment horizontal="left" wrapText="1"/>
    </xf>
    <xf numFmtId="0" fontId="72" fillId="0" borderId="66" xfId="0" applyFont="1" applyBorder="1" applyAlignment="1">
      <alignment horizontal="left" vertical="center"/>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8" fillId="0" borderId="12" xfId="0" applyFont="1" applyBorder="1" applyAlignment="1">
      <alignment wrapText="1"/>
    </xf>
    <xf numFmtId="0" fontId="8" fillId="0" borderId="1" xfId="0" applyFont="1" applyBorder="1"/>
    <xf numFmtId="0" fontId="8" fillId="0" borderId="13" xfId="0" applyFont="1" applyBorder="1"/>
    <xf numFmtId="0" fontId="8" fillId="0" borderId="86" xfId="0" applyFont="1" applyBorder="1"/>
    <xf numFmtId="164" fontId="8" fillId="0" borderId="86" xfId="0" applyNumberFormat="1" applyFont="1" applyBorder="1" applyAlignment="1">
      <alignment horizontal="left" wrapText="1"/>
    </xf>
    <xf numFmtId="166" fontId="10" fillId="0" borderId="93" xfId="0" applyNumberFormat="1" applyFont="1" applyBorder="1" applyAlignment="1">
      <alignment horizontal="right" wrapText="1"/>
    </xf>
    <xf numFmtId="0" fontId="8" fillId="0" borderId="86" xfId="0" applyFont="1" applyBorder="1" applyAlignment="1">
      <alignment horizontal="center" vertical="center" wrapText="1"/>
    </xf>
    <xf numFmtId="165" fontId="8" fillId="0" borderId="100" xfId="0" applyNumberFormat="1" applyFont="1" applyBorder="1" applyAlignment="1">
      <alignment horizontal="right"/>
    </xf>
    <xf numFmtId="165" fontId="8" fillId="0" borderId="92" xfId="0" applyNumberFormat="1" applyFont="1" applyBorder="1" applyAlignment="1">
      <alignment horizontal="right"/>
    </xf>
    <xf numFmtId="165" fontId="8" fillId="0" borderId="82" xfId="0" applyNumberFormat="1" applyFont="1" applyBorder="1" applyAlignment="1">
      <alignment horizontal="right"/>
    </xf>
    <xf numFmtId="0" fontId="12" fillId="0" borderId="86" xfId="0" applyFont="1" applyBorder="1" applyAlignment="1">
      <alignment horizontal="left" vertical="top" wrapText="1"/>
    </xf>
    <xf numFmtId="0" fontId="10" fillId="0" borderId="86" xfId="0" applyFont="1" applyBorder="1" applyAlignment="1">
      <alignment horizontal="center" vertical="center" wrapText="1"/>
    </xf>
    <xf numFmtId="0" fontId="8" fillId="0" borderId="73" xfId="0" applyFont="1" applyBorder="1" applyAlignment="1">
      <alignment wrapText="1"/>
    </xf>
    <xf numFmtId="0" fontId="8" fillId="0" borderId="0" xfId="0" applyFont="1" applyAlignment="1">
      <alignment wrapText="1"/>
    </xf>
    <xf numFmtId="0" fontId="8" fillId="0" borderId="17" xfId="0" applyFont="1" applyBorder="1" applyAlignment="1">
      <alignment wrapText="1"/>
    </xf>
    <xf numFmtId="0" fontId="8" fillId="0" borderId="21" xfId="0" applyFont="1" applyBorder="1" applyAlignment="1">
      <alignment wrapText="1"/>
    </xf>
    <xf numFmtId="0" fontId="8" fillId="0" borderId="20" xfId="0" applyFont="1" applyBorder="1" applyAlignment="1">
      <alignment wrapText="1"/>
    </xf>
    <xf numFmtId="0" fontId="8" fillId="0" borderId="19" xfId="0" applyFont="1" applyBorder="1" applyAlignment="1">
      <alignment wrapText="1"/>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67" fillId="0" borderId="7"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89" xfId="0" applyNumberFormat="1" applyFont="1" applyBorder="1" applyAlignment="1">
      <alignment horizontal="left" vertical="top" wrapText="1"/>
    </xf>
    <xf numFmtId="165" fontId="8" fillId="0" borderId="90" xfId="0" applyNumberFormat="1" applyFont="1" applyBorder="1" applyAlignment="1">
      <alignment horizontal="left" vertical="top" wrapText="1"/>
    </xf>
    <xf numFmtId="165" fontId="8" fillId="0" borderId="91" xfId="0" applyNumberFormat="1" applyFont="1" applyBorder="1" applyAlignment="1">
      <alignment horizontal="left" vertical="top" wrapText="1"/>
    </xf>
    <xf numFmtId="0" fontId="8" fillId="0" borderId="85" xfId="0" applyFont="1" applyBorder="1" applyAlignment="1">
      <alignment horizontal="left" wrapText="1"/>
    </xf>
    <xf numFmtId="0" fontId="8" fillId="0" borderId="105" xfId="0" applyFont="1" applyBorder="1" applyAlignment="1">
      <alignment horizontal="left" wrapText="1"/>
    </xf>
    <xf numFmtId="0" fontId="10" fillId="0" borderId="83" xfId="0" applyFont="1" applyBorder="1" applyAlignment="1">
      <alignment vertical="center"/>
    </xf>
    <xf numFmtId="0" fontId="10" fillId="0" borderId="82" xfId="0" applyFont="1" applyBorder="1" applyAlignment="1">
      <alignment vertical="center"/>
    </xf>
    <xf numFmtId="0" fontId="8" fillId="0" borderId="97" xfId="0" applyFont="1" applyBorder="1" applyAlignment="1">
      <alignment horizontal="left" vertical="top" wrapText="1"/>
    </xf>
    <xf numFmtId="0" fontId="8" fillId="0" borderId="98" xfId="0" applyFont="1" applyBorder="1" applyAlignment="1">
      <alignment horizontal="left" vertical="top" wrapText="1"/>
    </xf>
    <xf numFmtId="0" fontId="8" fillId="0" borderId="99" xfId="0" applyFont="1" applyBorder="1" applyAlignment="1">
      <alignment horizontal="left" vertical="top" wrapText="1"/>
    </xf>
    <xf numFmtId="0" fontId="10" fillId="0" borderId="97" xfId="0" applyFont="1" applyBorder="1" applyAlignment="1">
      <alignment vertical="center"/>
    </xf>
    <xf numFmtId="0" fontId="10" fillId="0" borderId="99" xfId="0" applyFont="1" applyBorder="1" applyAlignment="1">
      <alignment vertical="center"/>
    </xf>
    <xf numFmtId="0" fontId="14" fillId="0" borderId="5" xfId="0" applyFont="1" applyBorder="1" applyAlignment="1">
      <alignment horizontal="left"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66" fontId="8" fillId="0" borderId="66" xfId="0" applyNumberFormat="1" applyFont="1" applyBorder="1" applyAlignment="1">
      <alignment horizontal="center" vertical="center" wrapText="1"/>
    </xf>
    <xf numFmtId="165" fontId="8" fillId="0" borderId="68" xfId="0" applyNumberFormat="1" applyFont="1" applyBorder="1" applyAlignment="1">
      <alignment horizontal="right"/>
    </xf>
    <xf numFmtId="165" fontId="8" fillId="0" borderId="72" xfId="0" applyNumberFormat="1" applyFont="1" applyBorder="1" applyAlignment="1">
      <alignment horizontal="right"/>
    </xf>
    <xf numFmtId="165" fontId="8" fillId="0" borderId="69" xfId="0" applyNumberFormat="1" applyFont="1" applyBorder="1" applyAlignment="1">
      <alignment horizontal="right"/>
    </xf>
    <xf numFmtId="0" fontId="10" fillId="0" borderId="56" xfId="0" applyFont="1" applyBorder="1" applyAlignment="1">
      <alignment horizontal="center"/>
    </xf>
    <xf numFmtId="0" fontId="10" fillId="0" borderId="58" xfId="0" applyFont="1" applyBorder="1" applyAlignment="1">
      <alignment horizontal="center"/>
    </xf>
    <xf numFmtId="0" fontId="10" fillId="0" borderId="37" xfId="0" applyFont="1" applyBorder="1" applyAlignment="1">
      <alignment horizontal="center"/>
    </xf>
    <xf numFmtId="0" fontId="10" fillId="0" borderId="1" xfId="0" applyFont="1" applyBorder="1" applyAlignment="1">
      <alignment horizontal="center"/>
    </xf>
    <xf numFmtId="164" fontId="10" fillId="0" borderId="37" xfId="0" applyNumberFormat="1" applyFont="1" applyBorder="1" applyAlignment="1">
      <alignment horizontal="center" wrapText="1"/>
    </xf>
    <xf numFmtId="164" fontId="10" fillId="0" borderId="1" xfId="0" applyNumberFormat="1" applyFont="1" applyBorder="1" applyAlignment="1">
      <alignment horizontal="center" wrapText="1"/>
    </xf>
    <xf numFmtId="0" fontId="10" fillId="0" borderId="37" xfId="0" applyFont="1" applyBorder="1" applyAlignment="1">
      <alignment horizontal="center" wrapText="1"/>
    </xf>
    <xf numFmtId="0" fontId="10" fillId="0" borderId="1" xfId="0" applyFont="1" applyBorder="1" applyAlignment="1">
      <alignment horizontal="center" wrapText="1"/>
    </xf>
    <xf numFmtId="0" fontId="10" fillId="0" borderId="57" xfId="0" applyFont="1" applyBorder="1" applyAlignment="1">
      <alignment horizontal="center" wrapText="1"/>
    </xf>
    <xf numFmtId="0" fontId="10" fillId="0" borderId="59" xfId="0" applyFont="1" applyBorder="1" applyAlignment="1">
      <alignment horizontal="center" wrapText="1"/>
    </xf>
    <xf numFmtId="165" fontId="8" fillId="0" borderId="102" xfId="0" applyNumberFormat="1" applyFont="1" applyBorder="1" applyAlignment="1">
      <alignment horizontal="right"/>
    </xf>
    <xf numFmtId="165" fontId="8" fillId="0" borderId="103" xfId="0" applyNumberFormat="1" applyFont="1" applyBorder="1" applyAlignment="1">
      <alignment horizontal="right"/>
    </xf>
    <xf numFmtId="165" fontId="8" fillId="0" borderId="104" xfId="0" applyNumberFormat="1" applyFont="1" applyBorder="1" applyAlignment="1">
      <alignment horizontal="right"/>
    </xf>
    <xf numFmtId="0" fontId="66" fillId="0" borderId="5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57"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0" xfId="0" applyFont="1" applyAlignment="1">
      <alignment horizontal="center" vertical="center" wrapText="1"/>
    </xf>
    <xf numFmtId="0" fontId="66" fillId="0" borderId="106"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26" xfId="0" applyFont="1" applyBorder="1" applyAlignment="1">
      <alignment horizontal="center" vertical="center" wrapText="1"/>
    </xf>
    <xf numFmtId="0" fontId="8" fillId="0" borderId="83"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67" fillId="0" borderId="93" xfId="0" applyFont="1" applyBorder="1" applyAlignment="1">
      <alignment horizontal="right"/>
    </xf>
    <xf numFmtId="0" fontId="8" fillId="0" borderId="101" xfId="0" applyFont="1" applyBorder="1" applyAlignment="1">
      <alignment horizontal="left" vertical="center" wrapText="1"/>
    </xf>
    <xf numFmtId="0" fontId="10" fillId="0" borderId="90" xfId="0" applyFont="1" applyBorder="1" applyAlignment="1">
      <alignment horizontal="center"/>
    </xf>
    <xf numFmtId="0" fontId="10" fillId="0" borderId="91" xfId="0" applyFont="1" applyBorder="1" applyAlignment="1">
      <alignment horizontal="center"/>
    </xf>
    <xf numFmtId="166" fontId="8" fillId="0" borderId="97" xfId="0" applyNumberFormat="1" applyFont="1" applyBorder="1" applyAlignment="1">
      <alignment horizontal="right" vertical="center" wrapText="1"/>
    </xf>
    <xf numFmtId="166" fontId="8" fillId="0" borderId="99" xfId="0" applyNumberFormat="1" applyFont="1" applyBorder="1" applyAlignment="1">
      <alignment horizontal="right" vertical="center" wrapText="1"/>
    </xf>
    <xf numFmtId="0" fontId="8" fillId="0" borderId="93" xfId="0" applyFont="1" applyBorder="1" applyAlignment="1">
      <alignment horizontal="right" wrapText="1"/>
    </xf>
    <xf numFmtId="7" fontId="8" fillId="0" borderId="93" xfId="0" applyNumberFormat="1" applyFont="1" applyBorder="1" applyAlignment="1">
      <alignment horizontal="center" wrapText="1"/>
    </xf>
    <xf numFmtId="164" fontId="8" fillId="0" borderId="93" xfId="0" applyNumberFormat="1" applyFont="1" applyBorder="1" applyAlignment="1">
      <alignment horizontal="center" wrapText="1"/>
    </xf>
    <xf numFmtId="0" fontId="8" fillId="59" borderId="9" xfId="0" applyFont="1" applyFill="1" applyBorder="1" applyAlignment="1">
      <alignment horizontal="left" vertical="top" wrapText="1"/>
    </xf>
    <xf numFmtId="0" fontId="8" fillId="59" borderId="10" xfId="0" applyFont="1" applyFill="1" applyBorder="1" applyAlignment="1">
      <alignment horizontal="left" vertical="top" wrapText="1"/>
    </xf>
    <xf numFmtId="0" fontId="8" fillId="59" borderId="11" xfId="0" applyFont="1" applyFill="1" applyBorder="1" applyAlignment="1">
      <alignment horizontal="left" vertical="top" wrapText="1"/>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88" xfId="0" applyFont="1" applyBorder="1" applyAlignment="1">
      <alignment horizontal="left" vertical="top" wrapText="1"/>
    </xf>
    <xf numFmtId="0" fontId="8" fillId="0" borderId="87" xfId="0" applyFont="1" applyBorder="1" applyAlignment="1">
      <alignment horizontal="left" vertical="top" wrapText="1"/>
    </xf>
    <xf numFmtId="0" fontId="10" fillId="59" borderId="9" xfId="0" applyFont="1" applyFill="1" applyBorder="1" applyAlignment="1">
      <alignment horizontal="left"/>
    </xf>
    <xf numFmtId="0" fontId="10" fillId="59" borderId="10" xfId="0" applyFont="1" applyFill="1" applyBorder="1" applyAlignment="1">
      <alignment horizontal="left"/>
    </xf>
    <xf numFmtId="0" fontId="10" fillId="59" borderId="11" xfId="0" applyFont="1" applyFill="1" applyBorder="1" applyAlignment="1">
      <alignment horizontal="left"/>
    </xf>
    <xf numFmtId="0" fontId="20" fillId="3" borderId="86" xfId="0" applyFont="1" applyFill="1" applyBorder="1" applyAlignment="1">
      <alignment horizontal="center" vertical="center" wrapText="1"/>
    </xf>
    <xf numFmtId="0" fontId="20" fillId="3" borderId="87" xfId="0" applyFont="1" applyFill="1" applyBorder="1" applyAlignment="1">
      <alignment horizontal="center" vertical="center" wrapText="1"/>
    </xf>
    <xf numFmtId="0" fontId="20" fillId="3" borderId="22" xfId="0" applyFont="1" applyFill="1" applyBorder="1" applyAlignment="1">
      <alignment horizontal="center"/>
    </xf>
    <xf numFmtId="0" fontId="20" fillId="3" borderId="14" xfId="0" applyFont="1" applyFill="1" applyBorder="1" applyAlignment="1">
      <alignment horizontal="center"/>
    </xf>
    <xf numFmtId="0" fontId="20" fillId="3" borderId="15" xfId="0" applyFont="1" applyFill="1" applyBorder="1" applyAlignment="1">
      <alignment horizontal="center"/>
    </xf>
    <xf numFmtId="0" fontId="20" fillId="3" borderId="25" xfId="0" applyFont="1" applyFill="1" applyBorder="1" applyAlignment="1">
      <alignment horizontal="center"/>
    </xf>
    <xf numFmtId="0" fontId="20" fillId="3" borderId="2" xfId="0" applyFont="1" applyFill="1" applyBorder="1" applyAlignment="1">
      <alignment horizontal="center"/>
    </xf>
    <xf numFmtId="0" fontId="20" fillId="3" borderId="23" xfId="0" applyFont="1" applyFill="1" applyBorder="1" applyAlignment="1">
      <alignment horizontal="center"/>
    </xf>
    <xf numFmtId="0" fontId="0" fillId="0" borderId="93" xfId="0" applyBorder="1" applyAlignment="1">
      <alignment horizontal="left" vertical="top" wrapText="1"/>
    </xf>
    <xf numFmtId="0" fontId="0" fillId="0" borderId="93" xfId="0" applyBorder="1" applyAlignment="1">
      <alignment horizontal="left" vertical="top"/>
    </xf>
    <xf numFmtId="0" fontId="10" fillId="0" borderId="20" xfId="0" applyFont="1" applyBorder="1" applyAlignment="1">
      <alignment horizontal="center"/>
    </xf>
    <xf numFmtId="0" fontId="8" fillId="0" borderId="93" xfId="0" applyFont="1"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99" xfId="0" applyBorder="1" applyAlignment="1">
      <alignment horizontal="left" vertical="top" wrapText="1"/>
    </xf>
    <xf numFmtId="0" fontId="8" fillId="0" borderId="93" xfId="0" applyFont="1" applyBorder="1" applyAlignment="1">
      <alignment horizontal="left" vertical="top"/>
    </xf>
    <xf numFmtId="0" fontId="65" fillId="0" borderId="0" xfId="0" applyFont="1" applyAlignment="1">
      <alignment horizontal="left" vertical="center" wrapText="1"/>
    </xf>
    <xf numFmtId="1" fontId="8" fillId="3" borderId="61" xfId="0" applyNumberFormat="1" applyFont="1" applyFill="1" applyBorder="1" applyAlignment="1">
      <alignment horizontal="center"/>
    </xf>
    <xf numFmtId="1" fontId="8" fillId="3" borderId="60" xfId="0" applyNumberFormat="1" applyFont="1" applyFill="1" applyBorder="1" applyAlignment="1">
      <alignment horizontal="center"/>
    </xf>
    <xf numFmtId="1" fontId="8" fillId="3" borderId="62" xfId="0" applyNumberFormat="1" applyFont="1" applyFill="1" applyBorder="1" applyAlignment="1">
      <alignment horizontal="center"/>
    </xf>
    <xf numFmtId="0" fontId="0" fillId="0" borderId="0" xfId="0" applyAlignment="1">
      <alignment horizontal="left" wrapText="1"/>
    </xf>
    <xf numFmtId="0" fontId="21" fillId="5" borderId="86" xfId="0" applyFont="1" applyFill="1" applyBorder="1" applyAlignment="1">
      <alignment horizontal="center" wrapText="1"/>
    </xf>
    <xf numFmtId="0" fontId="21" fillId="3" borderId="86" xfId="0" applyFont="1" applyFill="1" applyBorder="1" applyAlignment="1">
      <alignment horizontal="center" wrapText="1"/>
    </xf>
  </cellXfs>
  <cellStyles count="312">
    <cellStyle name="20% - Accent1 2" xfId="18" xr:uid="{C18B4D58-816B-427D-9BA8-6202738C2437}"/>
    <cellStyle name="20% - Accent1 2 2" xfId="86" xr:uid="{A7ACBE27-DD52-4CBC-8B58-124F5BE3D687}"/>
    <cellStyle name="20% - Accent1 2 2 2" xfId="125" xr:uid="{D7A741D3-3409-4957-86CA-FA4420ABB876}"/>
    <cellStyle name="20% - Accent1 2 2 3" xfId="168" xr:uid="{2CEF8B9A-32F8-40A5-8422-A6B459A124A0}"/>
    <cellStyle name="20% - Accent1 2 3" xfId="107" xr:uid="{E6A0425E-285E-4B4A-916E-D6B605F80CF6}"/>
    <cellStyle name="20% - Accent1 2 4" xfId="147" xr:uid="{6163865B-F331-4516-9621-B1488C7CB430}"/>
    <cellStyle name="20% - Accent1 2 5" xfId="248" xr:uid="{8D8B5BD3-9018-409B-B3E5-A79A17623E73}"/>
    <cellStyle name="20% - Accent2 2" xfId="19" xr:uid="{2612BEA2-88EA-46ED-82D6-EC604BD07200}"/>
    <cellStyle name="20% - Accent2 2 2" xfId="87" xr:uid="{45A8B0BC-8728-436D-88B1-A6752AF2842D}"/>
    <cellStyle name="20% - Accent2 2 2 2" xfId="127" xr:uid="{B76B9831-7103-4D30-B337-D716F890B05B}"/>
    <cellStyle name="20% - Accent2 2 2 3" xfId="169" xr:uid="{FACCCCD5-B5BB-4E95-8A2A-61BC959F6F2B}"/>
    <cellStyle name="20% - Accent2 2 3" xfId="109" xr:uid="{BBA4BB69-46C4-4A0D-A003-C8BE6C5A607E}"/>
    <cellStyle name="20% - Accent2 2 4" xfId="148" xr:uid="{2D9BD89A-1172-425D-A9C2-5929A5C2F60F}"/>
    <cellStyle name="20% - Accent2 2 5" xfId="249" xr:uid="{253FDEB7-826A-41FC-B318-7E39D20F985E}"/>
    <cellStyle name="20% - Accent3 2" xfId="20" xr:uid="{1C8ACA40-B4C1-4776-A95A-96DF9E73EA2F}"/>
    <cellStyle name="20% - Accent3 2 2" xfId="88" xr:uid="{B230E91B-27DE-49D1-9663-704E1338CB03}"/>
    <cellStyle name="20% - Accent3 2 2 2" xfId="129" xr:uid="{7D57AA35-DFCC-43E9-B305-FFF94CC90226}"/>
    <cellStyle name="20% - Accent3 2 2 3" xfId="170" xr:uid="{F443AFA1-A9BF-4C6C-98F8-E56E7F326CFA}"/>
    <cellStyle name="20% - Accent3 2 3" xfId="111" xr:uid="{5A81906A-66AB-4365-9EEF-C4A93A13116F}"/>
    <cellStyle name="20% - Accent3 2 4" xfId="149" xr:uid="{132C404E-8020-4009-81D2-D5D352629CFE}"/>
    <cellStyle name="20% - Accent3 2 5" xfId="199" xr:uid="{4B9FF778-C5DA-4A73-A05E-D23FA3152F5E}"/>
    <cellStyle name="20% - Accent4 2" xfId="21" xr:uid="{1300FDD7-0FFD-4271-BC7D-BF437F105A6F}"/>
    <cellStyle name="20% - Accent4 2 2" xfId="89" xr:uid="{E2808133-F0BD-42C5-9863-01A71658C12B}"/>
    <cellStyle name="20% - Accent4 2 2 2" xfId="131" xr:uid="{25910C36-B78C-4DB2-A5D4-5B71FC549858}"/>
    <cellStyle name="20% - Accent4 2 2 3" xfId="171" xr:uid="{6D9517C1-CFEB-4565-B46D-ED35833C7AF1}"/>
    <cellStyle name="20% - Accent4 2 3" xfId="113" xr:uid="{AA9A363D-7AE0-415F-83E9-FA5E387C14F0}"/>
    <cellStyle name="20% - Accent4 2 4" xfId="150" xr:uid="{C78E5090-9F86-484B-9101-D2B259451AAB}"/>
    <cellStyle name="20% - Accent4 2 5" xfId="203" xr:uid="{8DD422D6-3262-48EA-8345-AA5C39EA1DB8}"/>
    <cellStyle name="20% - Accent5 2" xfId="22" xr:uid="{51248ED6-2E4F-4BEC-80F9-4E4C6FC879C2}"/>
    <cellStyle name="20% - Accent5 2 2" xfId="90" xr:uid="{030FBEA3-F476-49CF-8396-A9D987E86447}"/>
    <cellStyle name="20% - Accent5 2 2 2" xfId="133" xr:uid="{E782DD28-C94D-4781-8195-913C05F8A320}"/>
    <cellStyle name="20% - Accent5 2 2 3" xfId="172" xr:uid="{4DB7433B-8927-4E10-BD1C-41A5561E36B0}"/>
    <cellStyle name="20% - Accent5 2 3" xfId="115" xr:uid="{587CC731-EB22-496D-AEA1-D53CA7E7AD5A}"/>
    <cellStyle name="20% - Accent5 2 4" xfId="151" xr:uid="{7ECD025B-FA48-4C57-A6DC-6E64BC53E5B8}"/>
    <cellStyle name="20% - Accent5 2 5" xfId="260" xr:uid="{4CC274A3-E95F-4AE5-A9B9-D26CDEF09197}"/>
    <cellStyle name="20% - Accent6 2" xfId="23" xr:uid="{4D8620DE-64AC-4404-8F50-7DDBAAD0F67A}"/>
    <cellStyle name="20% - Accent6 2 2" xfId="91" xr:uid="{97EC93DC-910C-41A4-9B62-87BDED9B184F}"/>
    <cellStyle name="20% - Accent6 2 2 2" xfId="135" xr:uid="{3AAC37EA-8B41-4B05-9AA4-C1D96D8403CD}"/>
    <cellStyle name="20% - Accent6 2 2 3" xfId="173" xr:uid="{CA5E0AF3-2D00-4A0E-A820-8BD15E30B3E5}"/>
    <cellStyle name="20% - Accent6 2 3" xfId="117" xr:uid="{002CA9AB-F4F8-4EBD-A9A8-0FC0B8C577BE}"/>
    <cellStyle name="20% - Accent6 2 4" xfId="152" xr:uid="{EAA19FEE-7A71-42FD-93E3-76ED4618B7EB}"/>
    <cellStyle name="20% - Accent6 2 5" xfId="204" xr:uid="{78458162-DE77-421D-ACEF-6F567C462084}"/>
    <cellStyle name="40% - Accent1 2" xfId="24" xr:uid="{66F1A99D-5DB8-4111-974D-89495094F956}"/>
    <cellStyle name="40% - Accent1 2 2" xfId="92" xr:uid="{DB02A8FF-D723-49A8-BDD1-385355E70461}"/>
    <cellStyle name="40% - Accent1 2 2 2" xfId="126" xr:uid="{DEFDE222-FCBC-496C-802A-B602204A108E}"/>
    <cellStyle name="40% - Accent1 2 2 3" xfId="174" xr:uid="{276390D6-1E32-4C86-83D5-284B40F9E5C7}"/>
    <cellStyle name="40% - Accent1 2 3" xfId="108" xr:uid="{E500386C-44DE-47D1-97CB-0946F4FD4985}"/>
    <cellStyle name="40% - Accent1 2 4" xfId="153" xr:uid="{8EF18AA2-E6D1-4A88-AB1D-2F2470660012}"/>
    <cellStyle name="40% - Accent1 2 5" xfId="279" xr:uid="{6B1B6D2A-39E3-4FA7-9868-FEEF54FC01F8}"/>
    <cellStyle name="40% - Accent2 2" xfId="25" xr:uid="{BF3A5524-1B0D-4134-9FB8-CE5365DD3B91}"/>
    <cellStyle name="40% - Accent2 2 2" xfId="93" xr:uid="{596848D1-C6F0-4DA4-BEF4-5544B8ABE464}"/>
    <cellStyle name="40% - Accent2 2 2 2" xfId="128" xr:uid="{F6ECCFF4-26C1-4CBC-B720-95D11B334D02}"/>
    <cellStyle name="40% - Accent2 2 2 3" xfId="175" xr:uid="{11BA44FF-17C9-49FE-BAA7-8AE9C1E98AE6}"/>
    <cellStyle name="40% - Accent2 2 3" xfId="110" xr:uid="{A41DA21F-C8FC-43C9-A712-6B4B600C375B}"/>
    <cellStyle name="40% - Accent2 2 4" xfId="154" xr:uid="{9B3A2E4D-4A07-4725-8FBB-8FADC3CEE252}"/>
    <cellStyle name="40% - Accent2 2 5" xfId="227" xr:uid="{37E66AAF-AD89-45C9-8E76-A15508E6729D}"/>
    <cellStyle name="40% - Accent3 2" xfId="26" xr:uid="{DDC8243F-545C-4E5C-8CAB-A53DB371BB9B}"/>
    <cellStyle name="40% - Accent3 2 2" xfId="94" xr:uid="{6BC9DAC0-E29F-425C-993C-56704F6E8BCC}"/>
    <cellStyle name="40% - Accent3 2 2 2" xfId="130" xr:uid="{FDDED361-4B8B-456F-AF21-A5AC34CBBC1F}"/>
    <cellStyle name="40% - Accent3 2 2 3" xfId="176" xr:uid="{2FC6F5C2-4140-4AB4-A8A8-41CDF32F46D4}"/>
    <cellStyle name="40% - Accent3 2 3" xfId="112" xr:uid="{FD574B63-1080-4D62-812F-BBA3BCC5D415}"/>
    <cellStyle name="40% - Accent3 2 4" xfId="155" xr:uid="{3ACB8C05-A0BF-4E45-A4E2-21E5639F752E}"/>
    <cellStyle name="40% - Accent3 2 5" xfId="242" xr:uid="{B6C39D25-543C-4294-AA44-7958FED059E7}"/>
    <cellStyle name="40% - Accent4 2" xfId="27" xr:uid="{DCF69C79-261C-4350-8FA4-5A9A2F4C4EB0}"/>
    <cellStyle name="40% - Accent4 2 2" xfId="95" xr:uid="{517AB397-00A0-4E6D-BB2B-AC0826D40117}"/>
    <cellStyle name="40% - Accent4 2 2 2" xfId="132" xr:uid="{69D62CC2-F15F-4369-BF11-6DB9D517D3EC}"/>
    <cellStyle name="40% - Accent4 2 2 3" xfId="177" xr:uid="{D8C22975-BE39-4A94-834F-EC9A8FA3A43B}"/>
    <cellStyle name="40% - Accent4 2 3" xfId="114" xr:uid="{C2114215-B27A-4974-9BB4-130D9EAA682D}"/>
    <cellStyle name="40% - Accent4 2 4" xfId="156" xr:uid="{E30EDD1C-B745-4C8C-B67C-D46B3515D8B5}"/>
    <cellStyle name="40% - Accent4 2 5" xfId="273" xr:uid="{8EBD8E52-6F3C-469D-B5FC-BA351A345C6C}"/>
    <cellStyle name="40% - Accent5 2" xfId="28" xr:uid="{0A03B579-BB7E-4598-9851-5B62C76C8543}"/>
    <cellStyle name="40% - Accent5 2 2" xfId="96" xr:uid="{3C509C84-C865-4AD9-8032-99EB1A513F56}"/>
    <cellStyle name="40% - Accent5 2 2 2" xfId="134" xr:uid="{E00A84EA-0020-44BA-AAA8-2522D04A46C4}"/>
    <cellStyle name="40% - Accent5 2 2 3" xfId="178" xr:uid="{7FDED1F5-F56C-4120-BC5B-14C3C3B08CD0}"/>
    <cellStyle name="40% - Accent5 2 3" xfId="116" xr:uid="{E646CA86-AB3D-4448-AF69-0158592DD1DF}"/>
    <cellStyle name="40% - Accent5 2 4" xfId="157" xr:uid="{42484A9C-C029-4718-8EEA-6B11CC72317A}"/>
    <cellStyle name="40% - Accent5 2 5" xfId="239" xr:uid="{4C83A67A-3E70-44D4-B1F2-8AF57A9A3BD0}"/>
    <cellStyle name="40% - Accent6 2" xfId="29" xr:uid="{42106831-8260-4B4A-B400-3C0BDD6523C0}"/>
    <cellStyle name="40% - Accent6 2 2" xfId="97" xr:uid="{F990B89F-E2EA-482A-BD32-7AEB293905D6}"/>
    <cellStyle name="40% - Accent6 2 2 2" xfId="136" xr:uid="{570FAE27-02E2-4C3A-A06F-8DE7E1FEAEC9}"/>
    <cellStyle name="40% - Accent6 2 2 3" xfId="179" xr:uid="{CF82A801-E54F-4609-A101-B3B3D79EC4F3}"/>
    <cellStyle name="40% - Accent6 2 3" xfId="118" xr:uid="{0BD66E10-C593-4A50-9125-ED7A7D68F67C}"/>
    <cellStyle name="40% - Accent6 2 4" xfId="158" xr:uid="{30A2F841-0BA3-4327-82D3-7F202D44B481}"/>
    <cellStyle name="40% - Accent6 2 5" xfId="200" xr:uid="{F334E2F4-DBD3-43AE-847F-16D6CD07C054}"/>
    <cellStyle name="60% - Accent1 2" xfId="30" xr:uid="{820B8D97-5EF9-4FD3-A339-7ABB882AEA70}"/>
    <cellStyle name="60% - Accent1 2 2" xfId="243" xr:uid="{76C7DB32-643E-48FF-8331-ADC752AD7BA9}"/>
    <cellStyle name="60% - Accent1 2 3" xfId="205" xr:uid="{A869B940-B7BF-4FDC-AEA5-3ED0E31DBD1A}"/>
    <cellStyle name="60% - Accent2 2" xfId="31" xr:uid="{35381248-FFD4-4EE8-A800-86E7E0461908}"/>
    <cellStyle name="60% - Accent2 2 2" xfId="233" xr:uid="{391B671A-FC98-41A1-8F29-B31B6F7F0A4E}"/>
    <cellStyle name="60% - Accent2 2 3" xfId="206" xr:uid="{AEAF9728-FB0F-4F5A-9BA7-03D812DB3CC3}"/>
    <cellStyle name="60% - Accent3 2" xfId="32" xr:uid="{A32EB970-B695-4E3E-A86A-BACC699B84BA}"/>
    <cellStyle name="60% - Accent3 2 2" xfId="191" xr:uid="{8DE551ED-9B24-4907-93B7-C9A1FCA8980F}"/>
    <cellStyle name="60% - Accent3 2 3" xfId="207" xr:uid="{1BD11227-9FEA-45FA-8574-C46B15866977}"/>
    <cellStyle name="60% - Accent4 2" xfId="33" xr:uid="{09C25787-2370-41E0-B198-61F63CF9FDA9}"/>
    <cellStyle name="60% - Accent4 2 2" xfId="195" xr:uid="{A0F70AD2-9871-46CD-B361-989C030114BD}"/>
    <cellStyle name="60% - Accent4 2 3" xfId="240" xr:uid="{26BC6A53-B480-4211-A98C-0CE580F3A0AA}"/>
    <cellStyle name="60% - Accent5 2" xfId="34" xr:uid="{DA05710B-1F96-4736-8F30-B88F6889EC40}"/>
    <cellStyle name="60% - Accent5 2 2" xfId="278" xr:uid="{347463E3-4B97-4944-9862-0F44C6693B9A}"/>
    <cellStyle name="60% - Accent5 2 3" xfId="197" xr:uid="{9FE1B03C-4A06-492A-83F9-E27D0A1FD1D5}"/>
    <cellStyle name="60% - Accent6 2" xfId="35" xr:uid="{E159C03B-0C97-4650-8D3F-25C0A8EC1725}"/>
    <cellStyle name="60% - Accent6 2 2" xfId="241" xr:uid="{7676AC9C-9D8E-4506-82AD-0A171C40A98A}"/>
    <cellStyle name="60% - Accent6 2 3" xfId="267" xr:uid="{1E37BABC-1524-441A-B420-691179E02C02}"/>
    <cellStyle name="Accent1 2" xfId="36" xr:uid="{4E61F706-F2D0-4E61-887B-7FA9681BE43F}"/>
    <cellStyle name="Accent1 2 2" xfId="255" xr:uid="{4107563C-4047-4503-852E-2B65E534B3CE}"/>
    <cellStyle name="Accent1 2 3" xfId="252" xr:uid="{BC39E521-A01E-4E81-8389-94E367C3579A}"/>
    <cellStyle name="Accent2 2" xfId="37" xr:uid="{615A6034-42F2-43BB-838B-0D94D2522D06}"/>
    <cellStyle name="Accent2 2 2" xfId="226" xr:uid="{4A3091BD-9A4E-49D4-87EF-62B56FED66EA}"/>
    <cellStyle name="Accent2 2 3" xfId="192" xr:uid="{22DA570E-76E5-43F0-8C04-DA255CDD14E8}"/>
    <cellStyle name="Accent3 2" xfId="38" xr:uid="{8EA682AC-D444-4291-A7E3-78697E524FB2}"/>
    <cellStyle name="Accent3 2 2" xfId="266" xr:uid="{688B1534-3182-4273-BBD6-6B06427B27D6}"/>
    <cellStyle name="Accent3 2 3" xfId="185" xr:uid="{19F4A545-E3C2-488E-A7C6-F384D87878CB}"/>
    <cellStyle name="Accent4 2" xfId="39" xr:uid="{650E5750-9CB2-4198-99EB-8A96A9238880}"/>
    <cellStyle name="Accent4 2 2" xfId="244" xr:uid="{04A31ECB-CFD5-4BE4-A61B-0333AF65336D}"/>
    <cellStyle name="Accent4 2 3" xfId="275" xr:uid="{4EA12746-FFC7-4BD9-B817-55A3514EAB74}"/>
    <cellStyle name="Accent5 2" xfId="40" xr:uid="{CB296E26-12F7-4D24-B5D5-6D4C83B686B2}"/>
    <cellStyle name="Accent5 2 2" xfId="274" xr:uid="{A08E106F-AF04-42B4-A975-58E2896E5868}"/>
    <cellStyle name="Accent5 2 3" xfId="196" xr:uid="{D83D3E62-7BDA-44C8-BC39-32E6E36FD46A}"/>
    <cellStyle name="Accent6 2" xfId="41" xr:uid="{2F865A38-38BC-427F-9CA4-8CC6D300EEA2}"/>
    <cellStyle name="Accent6 2 2" xfId="229" xr:uid="{4DB1FC8B-7CBA-40AF-8308-3C92034F31AB}"/>
    <cellStyle name="Accent6 2 3" xfId="262" xr:uid="{8C82C006-340D-4C55-95AB-60A2D06B3203}"/>
    <cellStyle name="Bad 2" xfId="42" xr:uid="{9CB17AF5-14D7-49D7-96CC-4A3AB9E0B430}"/>
    <cellStyle name="Bad 2 2" xfId="253" xr:uid="{022C9C8B-5C5B-4829-8E2D-B2AE42B96D6E}"/>
    <cellStyle name="Bad 2 3" xfId="235" xr:uid="{DF692F7B-944D-40F7-94CD-7FD89178F219}"/>
    <cellStyle name="Calculation 2" xfId="43" xr:uid="{5D527CE0-F959-4613-8715-8EA4759D6481}"/>
    <cellStyle name="Calculation 2 2" xfId="231" xr:uid="{24F6376F-1744-40DE-A9DA-656BB7E325B3}"/>
    <cellStyle name="Calculation 2 3" xfId="208" xr:uid="{AE922213-78BA-431F-BF3D-B7F4A719FFB7}"/>
    <cellStyle name="Calculation 2 4" xfId="250" xr:uid="{E110B6BA-5D6B-447F-8464-75519052CDE6}"/>
    <cellStyle name="Calculation 2 5" xfId="294" xr:uid="{16D92FEE-F468-41C4-853F-3CF07A3A4EE9}"/>
    <cellStyle name="Check Cell 2" xfId="44" xr:uid="{C0019D1D-92A7-430B-92C1-EC9AD884F374}"/>
    <cellStyle name="Check Cell 2 2" xfId="276" xr:uid="{6ECDC511-C973-4B63-9E74-D3C360FFC7D3}"/>
    <cellStyle name="Check Cell 2 3" xfId="209" xr:uid="{C209E007-321E-4FB3-85C5-927ACCBD7E48}"/>
    <cellStyle name="Comma" xfId="1" builtinId="3"/>
    <cellStyle name="Comma 2" xfId="45" xr:uid="{9FE2BB24-E5D9-4A49-A1EF-3EC38A7EDE27}"/>
    <cellStyle name="Comma 2 2" xfId="98" xr:uid="{9AB26128-4144-4603-9285-39D13092DB68}"/>
    <cellStyle name="Comma 2 2 2" xfId="137" xr:uid="{225EB4B3-97A8-48C0-909A-19A17ABAD456}"/>
    <cellStyle name="Comma 2 2 3" xfId="180" xr:uid="{C91DAB8D-5839-4B33-A972-78F86339532C}"/>
    <cellStyle name="Comma 2 3" xfId="119" xr:uid="{83F5E25F-6C2D-40C7-8E17-43721A4DF655}"/>
    <cellStyle name="Comma 2 4" xfId="159" xr:uid="{2F548874-DCF6-4CFA-8CBF-4D3C77D679DE}"/>
    <cellStyle name="Comma 2 5" xfId="198" xr:uid="{EFE5A56E-E383-4771-91DF-4CE9B547AAD3}"/>
    <cellStyle name="Comma 2 6" xfId="307" xr:uid="{6259D6A3-B0FC-46BD-876F-71BF7697D11B}"/>
    <cellStyle name="Comma 3" xfId="46" xr:uid="{483F891A-5A9F-4329-900D-5D94B13AE225}"/>
    <cellStyle name="Comma 3 2" xfId="246" xr:uid="{4BD3F739-A011-4FF5-9D59-907D34FEAB25}"/>
    <cellStyle name="Comma 4" xfId="47" xr:uid="{EAAD2BC9-D535-4A32-A2F7-968434954B95}"/>
    <cellStyle name="Comma0" xfId="224" xr:uid="{368ED2FA-C7E3-49F7-A823-F26ECABAF55C}"/>
    <cellStyle name="Comma0 2" xfId="283" xr:uid="{3F5573A9-ABD7-4CC8-8A41-0BB5B647DCE4}"/>
    <cellStyle name="Currency" xfId="2" builtinId="4"/>
    <cellStyle name="Currency 2" xfId="48" xr:uid="{673F3696-6578-4980-8A37-4A6187FF26E9}"/>
    <cellStyle name="Currency 2 2" xfId="9" xr:uid="{C02CFBC1-EDDF-474E-BFC1-9A71BA5BFCAA}"/>
    <cellStyle name="Currency 2 3" xfId="49" xr:uid="{FC2899B5-AFA0-45E2-A657-00F371E4C653}"/>
    <cellStyle name="Currency 2 3 2" xfId="161" xr:uid="{320628E0-CCFA-41D8-9546-98566B794A84}"/>
    <cellStyle name="Currency 2 4" xfId="104" xr:uid="{C87059EA-B309-4E5E-BA86-B9CE7E4FC8AC}"/>
    <cellStyle name="Currency 2 5" xfId="160" xr:uid="{3F872DD1-4539-4B63-A5FC-3C084A2AF9B5}"/>
    <cellStyle name="Currency 3" xfId="50" xr:uid="{812339A0-E552-4D8C-994D-16BE53D6FE57}"/>
    <cellStyle name="Currency0" xfId="210" xr:uid="{E92DD0CC-FEE3-4298-80A7-040979DC00AF}"/>
    <cellStyle name="Currency0 2" xfId="284" xr:uid="{C1634477-55B1-4634-8EC7-39659AED3A1E}"/>
    <cellStyle name="Explanatory Text 2" xfId="51" xr:uid="{40C16B93-1D2F-487C-95D4-98A17C37A3ED}"/>
    <cellStyle name="Explanatory Text 2 2" xfId="188" xr:uid="{BF7DC593-75EE-45B2-9BFC-5B7BBAAE5AA2}"/>
    <cellStyle name="Explanatory Text 2 3" xfId="211" xr:uid="{208EA70F-9197-4A74-9001-856900F71A13}"/>
    <cellStyle name="Good 2" xfId="52" xr:uid="{5D678D8F-1735-4897-B0E4-49AA2E892B15}"/>
    <cellStyle name="Good 2 2" xfId="261" xr:uid="{7BCB1D32-2743-42A6-BB78-3C8963556506}"/>
    <cellStyle name="Good 2 3" xfId="236" xr:uid="{2BB2316D-1CEA-406F-8BFD-BE072E120552}"/>
    <cellStyle name="Heading 1 2" xfId="53" xr:uid="{89BC4AB6-F06B-4BC6-84ED-ECA8CA358C0C}"/>
    <cellStyle name="Heading 1 2 2" xfId="220" xr:uid="{5E5EEFE4-2453-4103-A44C-61D869072D87}"/>
    <cellStyle name="Heading 1 2 3" xfId="187" xr:uid="{D782FF50-2373-4DAF-9B8C-47ACAC13674B}"/>
    <cellStyle name="Heading 2 2" xfId="54" xr:uid="{AF9C4AC7-FA57-4407-B403-60855FCC2806}"/>
    <cellStyle name="Heading 2 2 2" xfId="257" xr:uid="{145D95C8-6D6D-4452-BDDE-E2168D75CB51}"/>
    <cellStyle name="Heading 2 2 3" xfId="270" xr:uid="{1AB3AF20-9A54-4643-9F33-E75C005AA62B}"/>
    <cellStyle name="Heading 3 2" xfId="55" xr:uid="{30BBEB9E-A026-4D0E-B6DD-A0DFF2E7852F}"/>
    <cellStyle name="Heading 3 2 2" xfId="221" xr:uid="{766300A9-090F-4685-BF5D-4ED646C68383}"/>
    <cellStyle name="Heading 3 2 3" xfId="238" xr:uid="{703B93D2-FF33-42DE-AC96-49E4E3C845E9}"/>
    <cellStyle name="Heading 4 2" xfId="56" xr:uid="{5E88D313-1127-4FD0-BBAA-3923474E9AAE}"/>
    <cellStyle name="Heading 4 2 2" xfId="258" xr:uid="{84AE77FB-9160-453B-8B6F-BD331215C860}"/>
    <cellStyle name="Heading 4 2 3" xfId="212" xr:uid="{E7945CE9-195E-4AAE-BD15-9588C5438CC3}"/>
    <cellStyle name="Hyperlink" xfId="7" builtinId="8"/>
    <cellStyle name="Hyperlink 2" xfId="16" xr:uid="{7E22E398-9E24-41E7-9332-B70B800A6993}"/>
    <cellStyle name="Hyperlink 2 2" xfId="123" xr:uid="{285BA7AB-94BE-4CB8-A59C-D8D515C9F990}"/>
    <cellStyle name="Hyperlink 3" xfId="57" xr:uid="{1B07D3AD-D1A8-47DE-8B55-33DC25772BD3}"/>
    <cellStyle name="Hyperlink 4" xfId="58" xr:uid="{85F25BB2-B976-4C62-BA7F-CFDDE6D2164B}"/>
    <cellStyle name="Hyperlink 5" xfId="59" xr:uid="{178367B2-38A5-4EDF-9B8D-38C7B673B828}"/>
    <cellStyle name="Hyperlink 5 2" xfId="144" xr:uid="{D4A70351-FBEE-4652-9249-6CD24ACBDD35}"/>
    <cellStyle name="Hyperlink 6" xfId="60" xr:uid="{51CC704D-AD85-4717-89B4-BD9C64AF472B}"/>
    <cellStyle name="Hyperlink 7" xfId="184" xr:uid="{C8763AF1-99FA-44DF-A71A-E17D454C04F1}"/>
    <cellStyle name="Input 2" xfId="61" xr:uid="{E8CC5610-0899-4EF6-A582-ABFC9D10B8C8}"/>
    <cellStyle name="Input 2 2" xfId="263" xr:uid="{91BA4E94-73D4-4420-B2A9-C9AD0DA3A2DC}"/>
    <cellStyle name="Input 2 3" xfId="247" xr:uid="{D9185DC7-A90F-4135-BFEB-5FC4B23E8428}"/>
    <cellStyle name="Input 2 4" xfId="194" xr:uid="{97EC68B8-2D38-4CF5-8A4C-62EE8C7CF9A3}"/>
    <cellStyle name="Input 2 5" xfId="300" xr:uid="{58CB49C3-DE7A-4D85-B906-E4C9E55330E2}"/>
    <cellStyle name="Linked Cell 2" xfId="62" xr:uid="{612F944D-53C5-49F0-A826-8EB23A1F14C1}"/>
    <cellStyle name="Linked Cell 2 2" xfId="225" xr:uid="{EA10CCAD-F0BA-47DE-8F48-F019151F45F1}"/>
    <cellStyle name="Linked Cell 2 3" xfId="271" xr:uid="{0E17D06F-6B9C-433A-9B07-0734ABD88FEE}"/>
    <cellStyle name="Neutral 2" xfId="63" xr:uid="{35F4C849-2EAB-4503-994A-EE341A6B1DA1}"/>
    <cellStyle name="Neutral 2 2" xfId="193" xr:uid="{D14989FB-6A4F-4B47-BD02-C5F58DFF9CB8}"/>
    <cellStyle name="Neutral 2 3" xfId="230" xr:uid="{BF5907CA-924E-4A58-9074-CDEA75373D43}"/>
    <cellStyle name="Normal" xfId="0" builtinId="0"/>
    <cellStyle name="Normal 10" xfId="146" xr:uid="{CDD01E36-CE93-43ED-9607-3AE6F937C949}"/>
    <cellStyle name="Normal 10 2" xfId="281" xr:uid="{C2C9DC1B-AB75-48F5-98BA-50F8B0DFDDD7}"/>
    <cellStyle name="Normal 11" xfId="102" xr:uid="{7333A740-9049-4D4F-834D-F6AF2E38740B}"/>
    <cellStyle name="Normal 11 2" xfId="282" xr:uid="{2E548E42-24F7-4052-9EC5-784363627CA1}"/>
    <cellStyle name="Normal 12" xfId="14" xr:uid="{15856321-C59B-4F23-811F-8A68A5A00102}"/>
    <cellStyle name="Normal 12 2" xfId="305" xr:uid="{DDF2206D-B7A7-4B47-A2F3-0F8D10CA2243}"/>
    <cellStyle name="Normal 13" xfId="304" xr:uid="{2615C15B-D1C2-4471-AF8B-35BC0F7F17AA}"/>
    <cellStyle name="Normal 14" xfId="306" xr:uid="{D21CB034-9F1C-4B19-9946-EC4D8259D827}"/>
    <cellStyle name="Normal 15" xfId="234" xr:uid="{D86129A4-34F2-400A-85D5-864A52C55573}"/>
    <cellStyle name="Normal 16" xfId="259" xr:uid="{1E29BC21-583B-4501-B0DD-B67E8BCE912F}"/>
    <cellStyle name="Normal 17" xfId="308" xr:uid="{5DE9931D-9D03-4252-B314-DA84186DB555}"/>
    <cellStyle name="Normal 18" xfId="309" xr:uid="{975C8FE5-BCC7-4172-8917-88297582C880}"/>
    <cellStyle name="Normal 19" xfId="311" xr:uid="{21A49D18-CE5A-42B5-9DA7-C277351DAE17}"/>
    <cellStyle name="Normal 2" xfId="12" xr:uid="{CD163E5C-E05F-48D0-A47E-FEC209970E70}"/>
    <cellStyle name="Normal 2 10" xfId="10" xr:uid="{511234AB-EA01-4E57-9003-A44F0989388E}"/>
    <cellStyle name="Normal 2 11" xfId="228" xr:uid="{7D9CB2B9-1229-4605-BD56-04BF8925E6D1}"/>
    <cellStyle name="Normal 2 2" xfId="64" xr:uid="{0B0F5FA5-BD82-4B8C-AFCC-0DEE0DE105A2}"/>
    <cellStyle name="Normal 2 2 2" xfId="264" xr:uid="{C71E2CA1-1DF3-45B2-9117-F7543A8B3507}"/>
    <cellStyle name="Normal 2 3" xfId="65" xr:uid="{5A24B461-C7E6-454B-9BCE-621AC881F6C7}"/>
    <cellStyle name="Normal 2 3 2" xfId="202" xr:uid="{F97853BD-8A54-4526-84A5-CB656E874F7B}"/>
    <cellStyle name="Normal 2 3 3" xfId="285" xr:uid="{F05A6C98-75AB-4700-A435-2F71A6B5643A}"/>
    <cellStyle name="Normal 2 3 4" xfId="269" xr:uid="{F84F0D6A-A162-484E-9E8C-99449D43EE73}"/>
    <cellStyle name="Normal 2 4" xfId="66" xr:uid="{E571F3F5-A9CD-42FA-AEDF-8A8FC5809828}"/>
    <cellStyle name="Normal 2 4 2" xfId="106" xr:uid="{D5905ED8-32AE-4948-B68B-27A7DBFF886A}"/>
    <cellStyle name="Normal 2 4 3" xfId="163" xr:uid="{0E339D3C-3A42-4B4E-A3CC-843FE5D324AF}"/>
    <cellStyle name="Normal 2 4 3 2" xfId="286" xr:uid="{A2316016-E5CF-4E99-9FCA-EC4F5EE09730}"/>
    <cellStyle name="Normal 2 4 4" xfId="213" xr:uid="{62DC8EAE-66F4-4C0B-9589-DE6E3C9E7F40}"/>
    <cellStyle name="Normal 2 5" xfId="67" xr:uid="{1D09E78A-8157-43D6-8A53-14D148B10B23}"/>
    <cellStyle name="Normal 2 5 2" xfId="124" xr:uid="{4E60AB90-FF21-4DD3-8253-AA0CAB47F95C}"/>
    <cellStyle name="Normal 2 5 3" xfId="164" xr:uid="{03C3B8CB-A980-417B-8DCE-61E34790659E}"/>
    <cellStyle name="Normal 2 5 3 2" xfId="287" xr:uid="{A9DFFE98-3317-4134-A225-B253BA70A7D9}"/>
    <cellStyle name="Normal 2 5 4" xfId="214" xr:uid="{5CA09301-CC8E-4564-87B0-2750BBC30837}"/>
    <cellStyle name="Normal 2 6" xfId="143" xr:uid="{FF8BEEE3-3B0D-485A-BC11-410F1BACD7AA}"/>
    <cellStyle name="Normal 2 6 2" xfId="288" xr:uid="{4274DD34-BB9B-42E0-AEA1-677697489D45}"/>
    <cellStyle name="Normal 2 6 3" xfId="215" xr:uid="{F339EB79-2BBC-49CA-9473-4B8C446D3379}"/>
    <cellStyle name="Normal 2 7" xfId="103" xr:uid="{21A85ED8-2784-4FD9-867A-871ED8ED0994}"/>
    <cellStyle name="Normal 2 7 2" xfId="289" xr:uid="{1CB0E469-55A7-47DC-8A71-E2F09A22145E}"/>
    <cellStyle name="Normal 2 7 3" xfId="232" xr:uid="{46A47256-4373-4AE7-901E-F494B304D43E}"/>
    <cellStyle name="Normal 2 8" xfId="162" xr:uid="{3317DC4A-EF57-41DA-9C36-2CD50493BB82}"/>
    <cellStyle name="Normal 2 8 2" xfId="290" xr:uid="{64241B5C-0D95-4674-BBBE-C07DA9CB0A4B}"/>
    <cellStyle name="Normal 2 8 3" xfId="189" xr:uid="{E494EADC-F8DE-47B4-B2AD-B054172C58B4}"/>
    <cellStyle name="Normal 2 9" xfId="268" xr:uid="{CE5E46E8-9455-496D-9073-879C9D93F8AB}"/>
    <cellStyle name="Normal 2_Summary Table" xfId="68" xr:uid="{8799D9FD-FF54-443B-A7E6-E97E647BB27F}"/>
    <cellStyle name="Normal 3" xfId="69" xr:uid="{C9053304-67AC-454A-8186-C6199FAE7982}"/>
    <cellStyle name="Normal 3 2" xfId="70" xr:uid="{E5F74CB5-6451-40DF-83C7-EBAE3F61B697}"/>
    <cellStyle name="Normal 3 3" xfId="99" xr:uid="{10955A35-9BD7-45EA-B493-7BBDAE14D356}"/>
    <cellStyle name="Normal 3 3 2" xfId="138" xr:uid="{CE325CAB-AF20-429E-AF73-7FEE23174A37}"/>
    <cellStyle name="Normal 3 3 3" xfId="181" xr:uid="{2854C13B-5F66-4D8E-BC41-6954D0892BD9}"/>
    <cellStyle name="Normal 3 4" xfId="120" xr:uid="{AF4D1FFF-3817-4EE3-B52B-BB7586B9C48F}"/>
    <cellStyle name="Normal 3 5" xfId="165" xr:uid="{3B0B4DC9-CCC4-4450-A5D9-DE88FF2C49E6}"/>
    <cellStyle name="Normal 4" xfId="71" xr:uid="{2D44069B-F21D-4D83-B795-13A5B382BB09}"/>
    <cellStyle name="Normal 4 2" xfId="72" xr:uid="{1BA14DDB-28C9-4628-9FB6-FD10EFCBBBBE}"/>
    <cellStyle name="Normal 4 3" xfId="201" xr:uid="{74535A09-AE03-431D-B748-E297D5FBB640}"/>
    <cellStyle name="Normal 4 4" xfId="265" xr:uid="{D1648800-1755-45FB-939C-9C95325194AC}"/>
    <cellStyle name="Normal 5" xfId="73" xr:uid="{08967415-E4B7-496E-A9C9-9534732D04B5}"/>
    <cellStyle name="Normal 5 2" xfId="74" xr:uid="{5F9609E9-2913-4C00-835A-4FCB7BA5AA56}"/>
    <cellStyle name="Normal 5 2 2" xfId="222" xr:uid="{D5001E4A-BA2D-4A2B-850C-7DE2882C22F3}"/>
    <cellStyle name="Normal 5 2 3" xfId="218" xr:uid="{A646EFDB-64C9-42CC-8B10-7E94E68D22D0}"/>
    <cellStyle name="Normal 5 3" xfId="100" xr:uid="{8535A5D1-CFF4-47C8-9C41-A822C6A3AF5E}"/>
    <cellStyle name="Normal 5 3 2" xfId="140" xr:uid="{76B228FA-C836-477B-AF50-B5C3F1DD5A13}"/>
    <cellStyle name="Normal 5 3 3" xfId="182" xr:uid="{E1648785-7D41-4CE9-8019-996114924EB8}"/>
    <cellStyle name="Normal 5 4" xfId="122" xr:uid="{E9BBD8A2-9D57-4BC4-9383-B64852009700}"/>
    <cellStyle name="Normal 5 5" xfId="166" xr:uid="{3EA7C875-5733-42E7-9220-74ABABC5D182}"/>
    <cellStyle name="Normal 5 6" xfId="237" xr:uid="{B14D7D31-F46A-43D6-80EF-F5B8CFBC9465}"/>
    <cellStyle name="Normal 6" xfId="75" xr:uid="{22071A33-BCA4-4E0D-BB95-C82E6E41D5EA}"/>
    <cellStyle name="Normal 6 2" xfId="186" xr:uid="{14D71724-5672-4317-90AB-4C5758AA3FC9}"/>
    <cellStyle name="Normal 6 3" xfId="6" xr:uid="{EEFDF5E3-7061-4BE1-A655-5E9B39C5B10B}"/>
    <cellStyle name="Normal 7" xfId="17" xr:uid="{EFE77265-A2A5-4582-BC20-76EF98267F51}"/>
    <cellStyle name="Normal 7 2" xfId="76" xr:uid="{5C802F7C-B509-481C-B367-94E51F56C826}"/>
    <cellStyle name="Normal 7 2 2" xfId="223" xr:uid="{FE0BED01-05F3-4F84-9F13-1D6DBF678656}"/>
    <cellStyle name="Normal 7 3" xfId="77" xr:uid="{C828A402-BFB5-46C5-8945-9334615266D9}"/>
    <cellStyle name="Normal 7 3 2" xfId="292" xr:uid="{2650F3E1-868C-48FB-AF4F-869ADF11D222}"/>
    <cellStyle name="Normal 7 4" xfId="141" xr:uid="{CDF229D3-5B43-458E-BDD1-16F4E9C55735}"/>
    <cellStyle name="Normal 7 5" xfId="217" xr:uid="{C9185A8C-9980-438B-82B1-EC4CA5DB6ACC}"/>
    <cellStyle name="Normal 8" xfId="78" xr:uid="{D12F06F3-9503-410B-9F86-DC295E7B4E96}"/>
    <cellStyle name="Normal 8 2" xfId="142" xr:uid="{5BC846DD-3810-4783-B4AB-7BFC9D37717E}"/>
    <cellStyle name="Normal 8 2 2" xfId="302" xr:uid="{851E4CD7-358D-421C-B1B7-763CAAA8E916}"/>
    <cellStyle name="Normal 9" xfId="145" xr:uid="{CB07B6D3-8778-435D-A9CE-83B5B0CACF21}"/>
    <cellStyle name="Normal 9 2" xfId="280" xr:uid="{48A5DF14-AB60-4D31-9BE8-B200BD86C2CC}"/>
    <cellStyle name="Normal_cost factors v5" xfId="4" xr:uid="{7DE4B25D-8254-423C-B276-300477A49D35}"/>
    <cellStyle name="Normal_Sheet1" xfId="5" xr:uid="{C12D5376-4B34-4422-BC83-08AA842FF15D}"/>
    <cellStyle name="Normal_Sheet1 2" xfId="8" xr:uid="{1992F5BA-73BF-4F83-A45A-331E6AB74877}"/>
    <cellStyle name="Note 2" xfId="79" xr:uid="{917D4302-0E3E-4F6E-8035-E0C8242A0AD3}"/>
    <cellStyle name="Note 2 2" xfId="101" xr:uid="{DEE33DD6-FC26-4B33-B330-CAF942FFD1E4}"/>
    <cellStyle name="Note 2 2 2" xfId="139" xr:uid="{0070B12A-E1B9-423B-AF62-BD9293B625F9}"/>
    <cellStyle name="Note 2 2 3" xfId="183" xr:uid="{585F19A2-C8B3-47F1-9F9C-10EFCE2032DF}"/>
    <cellStyle name="Note 2 3" xfId="121" xr:uid="{A26EAC08-D269-4FD6-B0F4-7F00AE6651C2}"/>
    <cellStyle name="Note 2 4" xfId="167" xr:uid="{E806D7EB-DCF5-48DB-89D1-A7B7B192C792}"/>
    <cellStyle name="Note 2 4 2" xfId="291" xr:uid="{D6783A23-8664-49C4-BB46-E9E7393C1358}"/>
    <cellStyle name="Note 2 4 3" xfId="301" xr:uid="{F970370F-17A2-4F01-A4DD-BACC3AD147C2}"/>
    <cellStyle name="Note 2 4 4" xfId="303" xr:uid="{90202B55-6376-4424-92FF-3A259DD255AD}"/>
    <cellStyle name="Note 2 5" xfId="256" xr:uid="{F4B4D7F1-C98A-4B8F-AE24-E6A4DF5637A2}"/>
    <cellStyle name="Note 2 6" xfId="295" xr:uid="{4BFA072F-0773-4F47-B987-69D305B65D3A}"/>
    <cellStyle name="Note 2 7" xfId="293" xr:uid="{7D3EF0F2-03A0-46A4-8955-9A4EF13B9286}"/>
    <cellStyle name="Output 2" xfId="80" xr:uid="{FCD15E2B-6B25-4567-BB88-9569E00671D6}"/>
    <cellStyle name="Output 2 2" xfId="190" xr:uid="{C780D383-3665-4B80-B7C5-758FEDA38A6D}"/>
    <cellStyle name="Output 2 3" xfId="277" xr:uid="{C1F87679-1D54-4759-89A1-3CB255AE1453}"/>
    <cellStyle name="Output 2 4" xfId="296" xr:uid="{F5337A41-51BD-4B37-ACB7-A5AC308BA864}"/>
    <cellStyle name="Output 2 5" xfId="299" xr:uid="{397198EE-44B3-4B04-B77A-8CF9A54A4A0C}"/>
    <cellStyle name="Percent" xfId="3" builtinId="5"/>
    <cellStyle name="Percent 2" xfId="81" xr:uid="{356BC1CA-D2B1-408D-9CBA-8EC7BDA287EB}"/>
    <cellStyle name="Percent 2 2" xfId="11" xr:uid="{60F0D663-0A74-4E96-ABBB-20F63775584B}"/>
    <cellStyle name="Percent 2 3" xfId="310" xr:uid="{DCA6C58F-B6E2-4E1B-8120-AC886D9EE000}"/>
    <cellStyle name="Percent 3" xfId="82" xr:uid="{2FFA4D68-67E3-4119-86B4-ED349AA3226F}"/>
    <cellStyle name="Percent 4" xfId="83" xr:uid="{30A2CD22-FFC0-4217-A57F-CE4DC3D0FA95}"/>
    <cellStyle name="Percent 4 2" xfId="219" xr:uid="{A6E26CDB-89CA-4E51-9263-242B3DB3F7F9}"/>
    <cellStyle name="Percent 5" xfId="105" xr:uid="{902EE134-597C-4020-AC12-081C309846AB}"/>
    <cellStyle name="Percent 6" xfId="15" xr:uid="{06CA5EC2-1AAB-425A-BF3F-23C717046786}"/>
    <cellStyle name="Title 2" xfId="245" xr:uid="{9098ACB7-7BF5-4602-AA15-B0BF5AA47911}"/>
    <cellStyle name="Title 3" xfId="13" xr:uid="{E94CDBA1-95BC-4DA1-8E96-35CB3D62F5B3}"/>
    <cellStyle name="Total 2" xfId="84" xr:uid="{2172349B-E93A-4B09-8E49-445776100C86}"/>
    <cellStyle name="Total 2 2" xfId="251" xr:uid="{2AF0964F-573F-4FC0-96FE-21A42054EF48}"/>
    <cellStyle name="Total 2 3" xfId="272" xr:uid="{5D149AA5-45A0-42D8-93E8-F0FFBC852400}"/>
    <cellStyle name="Total 2 4" xfId="297" xr:uid="{71AEF60E-2B90-47E6-9DC8-6750235C89BB}"/>
    <cellStyle name="Total 2 5" xfId="298" xr:uid="{F76D8C3F-91D4-442E-B535-CA70E9A02967}"/>
    <cellStyle name="Warning Text 2" xfId="85" xr:uid="{03E7E127-B6CA-4DFA-8221-00FED19D95B6}"/>
    <cellStyle name="Warning Text 2 2" xfId="254" xr:uid="{727D224E-3ABF-4C37-B4F1-FBA747460C59}"/>
    <cellStyle name="Warning Text 2 3" xfId="216" xr:uid="{A9333DAA-1097-4B0E-9590-4E9E5E6DE9A0}"/>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505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279400</xdr:colOff>
          <xdr:row>723</xdr:row>
          <xdr:rowOff>330200</xdr:rowOff>
        </xdr:from>
        <xdr:to>
          <xdr:col>1</xdr:col>
          <xdr:colOff>0</xdr:colOff>
          <xdr:row>726</xdr:row>
          <xdr:rowOff>0</xdr:rowOff>
        </xdr:to>
        <xdr:sp macro="" textlink="">
          <xdr:nvSpPr>
            <xdr:cNvPr id="3073" name="Object 1" descr="FAC 1511 Study"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1683</xdr:row>
          <xdr:rowOff>444500</xdr:rowOff>
        </xdr:from>
        <xdr:to>
          <xdr:col>1</xdr:col>
          <xdr:colOff>0</xdr:colOff>
          <xdr:row>1685</xdr:row>
          <xdr:rowOff>342900</xdr:rowOff>
        </xdr:to>
        <xdr:sp macro="" textlink="">
          <xdr:nvSpPr>
            <xdr:cNvPr id="3080" name="Object 8" descr="FAC 2131 RUC _FY2011 CNIC Study"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578574</xdr:colOff>
      <xdr:row>78</xdr:row>
      <xdr:rowOff>57150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41774" cy="141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8</xdr:row>
          <xdr:rowOff>101600</xdr:rowOff>
        </xdr:from>
        <xdr:to>
          <xdr:col>0</xdr:col>
          <xdr:colOff>1485900</xdr:colOff>
          <xdr:row>8</xdr:row>
          <xdr:rowOff>787400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F93E-9A46-49DA-8ECD-68C7216D2BF2}">
  <sheetPr codeName="Sheet2">
    <pageSetUpPr fitToPage="1"/>
  </sheetPr>
  <dimension ref="A1:AI4655"/>
  <sheetViews>
    <sheetView tabSelected="1" zoomScale="85" zoomScaleNormal="85" workbookViewId="0">
      <selection activeCell="G452" sqref="G452"/>
    </sheetView>
  </sheetViews>
  <sheetFormatPr defaultColWidth="8.81640625" defaultRowHeight="30" customHeight="1" x14ac:dyDescent="0.35"/>
  <cols>
    <col min="1" max="1" width="16.81640625" style="5" customWidth="1"/>
    <col min="2" max="3" width="9.1796875" style="9"/>
    <col min="4" max="4" width="38.1796875" style="9" customWidth="1"/>
    <col min="5" max="5" width="19.1796875" style="9" customWidth="1"/>
    <col min="6" max="6" width="16.6328125" style="9" customWidth="1"/>
    <col min="7" max="7" width="17.1796875" style="9" customWidth="1"/>
    <col min="8" max="8" width="17" style="9" customWidth="1"/>
    <col min="9" max="9" width="16.1796875" style="9" customWidth="1"/>
    <col min="10" max="10" width="18.36328125" style="9" customWidth="1"/>
    <col min="11" max="11" width="19.1796875" style="9" customWidth="1"/>
    <col min="12" max="12" width="11.54296875" style="9" customWidth="1"/>
    <col min="13" max="14" width="17.54296875" style="11" customWidth="1"/>
    <col min="15" max="15" width="20.1796875" style="9" customWidth="1"/>
    <col min="16" max="16" width="49.36328125" style="14" customWidth="1"/>
    <col min="17" max="17" width="14.54296875" style="9" customWidth="1"/>
    <col min="18" max="18" width="8.81640625" style="9"/>
    <col min="19" max="19" width="12.1796875" style="9" customWidth="1"/>
    <col min="20" max="20" width="15.54296875" style="9" customWidth="1"/>
    <col min="21" max="21" width="11.81640625" style="9" customWidth="1"/>
    <col min="22" max="22" width="14" style="9" customWidth="1"/>
    <col min="23" max="23" width="13.36328125" style="9" customWidth="1"/>
    <col min="24" max="24" width="8.81640625" style="9"/>
    <col min="25" max="25" width="17.36328125" style="9" customWidth="1"/>
    <col min="26" max="16384" width="8.81640625" style="9"/>
  </cols>
  <sheetData>
    <row r="1" spans="1:23" ht="30" customHeight="1" thickBot="1" x14ac:dyDescent="0.4">
      <c r="A1" s="1710" t="s">
        <v>3031</v>
      </c>
      <c r="B1" s="1711"/>
      <c r="C1" s="1711"/>
      <c r="D1" s="1711"/>
      <c r="E1" s="1711"/>
      <c r="F1" s="1711"/>
      <c r="G1" s="1711"/>
      <c r="H1" s="1711"/>
      <c r="I1" s="1711"/>
      <c r="J1" s="1711"/>
      <c r="K1" s="1711"/>
      <c r="L1" s="1712"/>
    </row>
    <row r="2" spans="1:23" ht="30" customHeight="1" x14ac:dyDescent="0.35">
      <c r="A2" s="1713" t="s">
        <v>0</v>
      </c>
      <c r="B2" s="1713"/>
      <c r="C2" s="1713"/>
      <c r="D2" s="1713"/>
      <c r="E2" s="1713"/>
      <c r="F2" s="1713"/>
      <c r="G2" s="1713"/>
      <c r="H2" s="1713"/>
      <c r="I2" s="1713"/>
      <c r="J2" s="1713"/>
      <c r="K2" s="1713"/>
      <c r="L2" s="1714"/>
    </row>
    <row r="3" spans="1:23" ht="30" customHeight="1" x14ac:dyDescent="0.35">
      <c r="A3" s="1265" t="s">
        <v>3030</v>
      </c>
      <c r="B3" s="1265"/>
      <c r="C3" s="1265"/>
      <c r="D3" s="1265"/>
      <c r="E3" s="1265"/>
      <c r="F3" s="1265"/>
      <c r="G3" s="1265"/>
      <c r="H3" s="1265"/>
      <c r="I3" s="1265"/>
      <c r="J3" s="1265"/>
      <c r="K3" s="1265"/>
      <c r="L3" s="1715"/>
    </row>
    <row r="4" spans="1:23" s="384" customFormat="1" ht="30" customHeight="1" thickBot="1" x14ac:dyDescent="0.4">
      <c r="A4" s="1265" t="s">
        <v>3032</v>
      </c>
      <c r="B4" s="1265"/>
      <c r="C4" s="1265"/>
      <c r="D4" s="1265"/>
      <c r="E4" s="1265"/>
      <c r="F4" s="1265"/>
      <c r="G4" s="1265"/>
      <c r="H4" s="1265"/>
      <c r="I4" s="1265"/>
      <c r="J4" s="1265"/>
      <c r="K4" s="1265"/>
      <c r="L4" s="1715"/>
    </row>
    <row r="5" spans="1:23" ht="30" customHeight="1" thickBot="1" x14ac:dyDescent="0.4">
      <c r="A5" s="1199"/>
      <c r="B5" s="1200"/>
      <c r="C5" s="1200"/>
      <c r="D5" s="1200"/>
      <c r="E5" s="1200"/>
      <c r="F5" s="1200"/>
      <c r="G5" s="1200"/>
      <c r="H5" s="1200"/>
      <c r="I5" s="1200"/>
      <c r="J5" s="1200"/>
      <c r="K5" s="1200"/>
      <c r="L5" s="1201"/>
    </row>
    <row r="6" spans="1:23" s="396" customFormat="1" ht="30" customHeight="1" x14ac:dyDescent="0.35">
      <c r="A6" s="388" t="s">
        <v>1</v>
      </c>
      <c r="B6" s="389">
        <v>1111</v>
      </c>
      <c r="C6" s="1288" t="s">
        <v>2646</v>
      </c>
      <c r="D6" s="1289"/>
      <c r="E6" s="390" t="s">
        <v>38</v>
      </c>
      <c r="F6" s="391">
        <v>110638.165691056</v>
      </c>
      <c r="G6" s="392" t="s">
        <v>3</v>
      </c>
      <c r="H6" s="393" t="s">
        <v>4</v>
      </c>
      <c r="I6" s="392" t="s">
        <v>5</v>
      </c>
      <c r="J6" s="1304" t="s">
        <v>2538</v>
      </c>
      <c r="K6" s="1305"/>
      <c r="L6" s="1306"/>
      <c r="M6" s="123"/>
      <c r="N6" s="51"/>
      <c r="P6" s="384"/>
      <c r="Q6" s="9"/>
      <c r="R6" s="9"/>
      <c r="S6" s="9"/>
      <c r="T6" s="9"/>
      <c r="U6" s="9"/>
      <c r="V6" s="9"/>
    </row>
    <row r="7" spans="1:23" ht="30" customHeight="1" x14ac:dyDescent="0.35">
      <c r="A7" s="185" t="s">
        <v>177</v>
      </c>
      <c r="B7" s="1272" t="s">
        <v>7</v>
      </c>
      <c r="C7" s="1272"/>
      <c r="D7" s="1272"/>
      <c r="E7" s="397" t="s">
        <v>52</v>
      </c>
      <c r="F7" s="397" t="s">
        <v>53</v>
      </c>
      <c r="G7" s="1225" t="s">
        <v>54</v>
      </c>
      <c r="H7" s="1226"/>
      <c r="I7" s="1221" t="s">
        <v>179</v>
      </c>
      <c r="J7" s="1222"/>
      <c r="K7" s="1209" t="s">
        <v>180</v>
      </c>
      <c r="L7" s="1210"/>
      <c r="M7" s="50"/>
      <c r="N7" s="50"/>
      <c r="O7" s="5"/>
      <c r="P7" s="9"/>
      <c r="Q7" s="34"/>
      <c r="R7" s="5"/>
      <c r="S7" s="35"/>
    </row>
    <row r="8" spans="1:23" ht="60" customHeight="1" x14ac:dyDescent="0.35">
      <c r="A8" s="401">
        <v>11110</v>
      </c>
      <c r="B8" s="1265" t="s">
        <v>2648</v>
      </c>
      <c r="C8" s="1265"/>
      <c r="D8" s="1265"/>
      <c r="E8" s="402">
        <v>180.36</v>
      </c>
      <c r="F8" s="191" t="s">
        <v>4</v>
      </c>
      <c r="G8" s="403">
        <v>1.25</v>
      </c>
      <c r="H8" s="404" t="s">
        <v>2655</v>
      </c>
      <c r="I8" s="1217">
        <f>+'FY2024 MILCON Inflation Table'!F22</f>
        <v>0.95834826759383673</v>
      </c>
      <c r="J8" s="1218"/>
      <c r="K8" s="189">
        <f>+E8*G8*I8</f>
        <v>216.05961692903051</v>
      </c>
      <c r="L8" s="395" t="s">
        <v>4</v>
      </c>
      <c r="M8" s="50"/>
      <c r="N8" s="50"/>
      <c r="O8" s="384"/>
      <c r="P8" s="9"/>
      <c r="Q8" s="34"/>
      <c r="R8" s="5"/>
      <c r="S8" s="35"/>
    </row>
    <row r="9" spans="1:23" ht="47.25" customHeight="1" x14ac:dyDescent="0.35">
      <c r="A9" s="401">
        <v>11110</v>
      </c>
      <c r="B9" s="1265" t="s">
        <v>2649</v>
      </c>
      <c r="C9" s="1265"/>
      <c r="D9" s="1265"/>
      <c r="E9" s="402">
        <v>137.56</v>
      </c>
      <c r="F9" s="191" t="s">
        <v>4</v>
      </c>
      <c r="G9" s="403">
        <f>16/12</f>
        <v>1.3333333333333333</v>
      </c>
      <c r="H9" s="404" t="s">
        <v>2656</v>
      </c>
      <c r="I9" s="1217">
        <f>+I8</f>
        <v>0.95834826759383673</v>
      </c>
      <c r="J9" s="1218"/>
      <c r="K9" s="189">
        <f>+E9*G9*I9</f>
        <v>175.7738502536109</v>
      </c>
      <c r="L9" s="395" t="s">
        <v>4</v>
      </c>
      <c r="M9" s="95"/>
      <c r="N9" s="95"/>
    </row>
    <row r="10" spans="1:23" ht="54.5" customHeight="1" thickBot="1" x14ac:dyDescent="0.4">
      <c r="A10" s="401">
        <v>11110</v>
      </c>
      <c r="B10" s="1265" t="s">
        <v>2650</v>
      </c>
      <c r="C10" s="1265"/>
      <c r="D10" s="1265"/>
      <c r="E10" s="402">
        <v>119.89</v>
      </c>
      <c r="F10" s="407" t="s">
        <v>4</v>
      </c>
      <c r="G10" s="408"/>
      <c r="H10" s="408"/>
      <c r="I10" s="1217">
        <f>+I8</f>
        <v>0.95834826759383673</v>
      </c>
      <c r="J10" s="1218"/>
      <c r="K10" s="189">
        <f>+E10*I10</f>
        <v>114.89637380182509</v>
      </c>
      <c r="L10" s="395" t="s">
        <v>4</v>
      </c>
      <c r="M10" s="52"/>
      <c r="N10" s="52"/>
      <c r="O10" s="5"/>
      <c r="V10" s="10"/>
      <c r="W10" s="10"/>
    </row>
    <row r="11" spans="1:23" ht="30" customHeight="1" x14ac:dyDescent="0.35">
      <c r="A11" s="409"/>
      <c r="B11" s="410"/>
      <c r="C11" s="410"/>
      <c r="D11" s="410"/>
      <c r="E11" s="411"/>
      <c r="F11" s="412"/>
      <c r="G11" s="1404" t="s">
        <v>33</v>
      </c>
      <c r="H11" s="1405"/>
      <c r="I11" s="414" t="s">
        <v>34</v>
      </c>
      <c r="J11" s="122">
        <v>0.71</v>
      </c>
      <c r="K11" s="297">
        <f>+K8</f>
        <v>216.05961692903051</v>
      </c>
      <c r="L11" s="395" t="s">
        <v>4</v>
      </c>
      <c r="M11" s="52"/>
      <c r="N11" s="52"/>
      <c r="O11" s="5"/>
      <c r="V11" s="10"/>
      <c r="W11" s="10"/>
    </row>
    <row r="12" spans="1:23" ht="30" customHeight="1" x14ac:dyDescent="0.35">
      <c r="A12" s="409"/>
      <c r="B12" s="410"/>
      <c r="C12" s="410"/>
      <c r="D12" s="410"/>
      <c r="E12" s="411"/>
      <c r="F12" s="412"/>
      <c r="G12" s="1410"/>
      <c r="H12" s="1234"/>
      <c r="I12" s="271" t="s">
        <v>35</v>
      </c>
      <c r="J12" s="416">
        <v>0.14000000000000001</v>
      </c>
      <c r="K12" s="297">
        <f>+K9</f>
        <v>175.7738502536109</v>
      </c>
      <c r="L12" s="395" t="s">
        <v>4</v>
      </c>
      <c r="M12" s="52"/>
      <c r="N12" s="52"/>
      <c r="O12" s="5"/>
      <c r="V12" s="10"/>
      <c r="W12" s="10"/>
    </row>
    <row r="13" spans="1:23" ht="30" customHeight="1" thickBot="1" x14ac:dyDescent="0.4">
      <c r="A13" s="409"/>
      <c r="B13" s="410"/>
      <c r="C13" s="410"/>
      <c r="D13" s="410"/>
      <c r="E13" s="411"/>
      <c r="F13" s="412"/>
      <c r="G13" s="1406"/>
      <c r="H13" s="1407"/>
      <c r="I13" s="3" t="s">
        <v>36</v>
      </c>
      <c r="J13" s="418">
        <v>0.15</v>
      </c>
      <c r="K13" s="314">
        <f>+K10</f>
        <v>114.89637380182509</v>
      </c>
      <c r="L13" s="395" t="s">
        <v>4</v>
      </c>
      <c r="M13" s="52"/>
      <c r="N13" s="52"/>
      <c r="O13" s="5"/>
      <c r="V13" s="10"/>
      <c r="W13" s="10"/>
    </row>
    <row r="14" spans="1:23" ht="30" customHeight="1" x14ac:dyDescent="0.35">
      <c r="A14" s="407"/>
      <c r="E14" s="419"/>
      <c r="F14" s="420"/>
      <c r="G14" s="421"/>
      <c r="H14" s="421"/>
      <c r="I14" s="421"/>
      <c r="J14" s="421" t="s">
        <v>240</v>
      </c>
      <c r="K14" s="315">
        <f>+(K11*J11)+(K12*J12)+(K13*J13)</f>
        <v>195.24512312539093</v>
      </c>
      <c r="L14" s="395" t="s">
        <v>4</v>
      </c>
      <c r="M14" s="52"/>
      <c r="N14" s="52"/>
      <c r="O14" s="5"/>
      <c r="V14" s="10"/>
      <c r="W14" s="10"/>
    </row>
    <row r="15" spans="1:23" ht="30" customHeight="1" x14ac:dyDescent="0.35">
      <c r="A15" s="420">
        <v>93410</v>
      </c>
      <c r="B15" s="1265" t="s">
        <v>2660</v>
      </c>
      <c r="C15" s="1265"/>
      <c r="D15" s="1265"/>
      <c r="E15" s="402">
        <v>12.99</v>
      </c>
      <c r="F15" s="420" t="s">
        <v>16</v>
      </c>
      <c r="G15" s="421">
        <v>0.33329999999999999</v>
      </c>
      <c r="H15" s="422" t="s">
        <v>1827</v>
      </c>
      <c r="I15" s="1217">
        <f>+I8</f>
        <v>0.95834826759383673</v>
      </c>
      <c r="J15" s="1218"/>
      <c r="K15" s="315">
        <f>+E15*G15*I15</f>
        <v>4.1492330338814449</v>
      </c>
      <c r="L15" s="395" t="s">
        <v>4</v>
      </c>
      <c r="M15" s="52"/>
      <c r="N15" s="52"/>
      <c r="O15" s="5"/>
      <c r="V15" s="10"/>
      <c r="W15" s="10"/>
    </row>
    <row r="16" spans="1:23" ht="30" customHeight="1" x14ac:dyDescent="0.35">
      <c r="A16" s="420">
        <v>93410</v>
      </c>
      <c r="B16" s="1265" t="s">
        <v>2659</v>
      </c>
      <c r="C16" s="1265"/>
      <c r="D16" s="1265"/>
      <c r="E16" s="402">
        <v>20.86</v>
      </c>
      <c r="F16" s="420" t="s">
        <v>16</v>
      </c>
      <c r="G16" s="421">
        <v>0.33329999999999999</v>
      </c>
      <c r="H16" s="422" t="s">
        <v>1827</v>
      </c>
      <c r="I16" s="1217">
        <f>+I8</f>
        <v>0.95834826759383673</v>
      </c>
      <c r="J16" s="1218"/>
      <c r="K16" s="315">
        <f>+E16*G16*I16</f>
        <v>6.6630485825070771</v>
      </c>
      <c r="L16" s="395" t="s">
        <v>4</v>
      </c>
      <c r="M16" s="52"/>
      <c r="N16" s="52"/>
      <c r="O16" s="5"/>
      <c r="V16" s="10"/>
      <c r="W16" s="10"/>
    </row>
    <row r="17" spans="1:23" ht="30" customHeight="1" x14ac:dyDescent="0.35">
      <c r="A17" s="420">
        <v>93210</v>
      </c>
      <c r="B17" s="1265" t="s">
        <v>2661</v>
      </c>
      <c r="C17" s="1265"/>
      <c r="D17" s="1265"/>
      <c r="E17" s="423">
        <v>5.84</v>
      </c>
      <c r="F17" s="420" t="s">
        <v>4</v>
      </c>
      <c r="G17" s="421"/>
      <c r="H17" s="422"/>
      <c r="I17" s="1252">
        <f>+I15</f>
        <v>0.95834826759383673</v>
      </c>
      <c r="J17" s="1253"/>
      <c r="K17" s="189">
        <f>+E17*I17</f>
        <v>5.5967538827480068</v>
      </c>
      <c r="L17" s="395" t="s">
        <v>4</v>
      </c>
      <c r="M17" s="52"/>
      <c r="N17" s="52"/>
      <c r="O17" s="5"/>
      <c r="V17" s="10"/>
      <c r="W17" s="10"/>
    </row>
    <row r="18" spans="1:23" ht="30" customHeight="1" x14ac:dyDescent="0.35">
      <c r="A18" s="401">
        <v>11110</v>
      </c>
      <c r="B18" s="1265" t="s">
        <v>2651</v>
      </c>
      <c r="C18" s="1265"/>
      <c r="D18" s="1265"/>
      <c r="E18" s="402">
        <v>43.94</v>
      </c>
      <c r="F18" s="420" t="s">
        <v>4</v>
      </c>
      <c r="G18" s="278"/>
      <c r="H18" s="278"/>
      <c r="I18" s="1217">
        <f>+I8</f>
        <v>0.95834826759383673</v>
      </c>
      <c r="J18" s="1218"/>
      <c r="K18" s="189">
        <f>+E18*I18</f>
        <v>42.109822878073182</v>
      </c>
      <c r="L18" s="395" t="s">
        <v>4</v>
      </c>
      <c r="M18" s="52"/>
      <c r="N18" s="52"/>
      <c r="O18" s="5"/>
      <c r="V18" s="10"/>
      <c r="W18" s="10"/>
    </row>
    <row r="19" spans="1:23" ht="30" customHeight="1" x14ac:dyDescent="0.35">
      <c r="A19" s="401">
        <v>11110</v>
      </c>
      <c r="B19" s="1265" t="s">
        <v>2652</v>
      </c>
      <c r="C19" s="1265"/>
      <c r="D19" s="1265"/>
      <c r="E19" s="402">
        <v>8.31</v>
      </c>
      <c r="F19" s="407" t="s">
        <v>108</v>
      </c>
      <c r="G19" s="278">
        <f>9*0.06</f>
        <v>0.54</v>
      </c>
      <c r="H19" s="278" t="s">
        <v>2654</v>
      </c>
      <c r="I19" s="1217">
        <f>+I9</f>
        <v>0.95834826759383673</v>
      </c>
      <c r="J19" s="1218"/>
      <c r="K19" s="425">
        <f>+E19*G19*I19</f>
        <v>4.3004920160005842</v>
      </c>
      <c r="L19" s="395" t="s">
        <v>4</v>
      </c>
      <c r="M19" s="52"/>
      <c r="N19" s="52"/>
      <c r="O19" s="5"/>
      <c r="V19" s="10"/>
      <c r="W19" s="10"/>
    </row>
    <row r="20" spans="1:23" ht="30" customHeight="1" x14ac:dyDescent="0.35">
      <c r="A20" s="1392" t="s">
        <v>2653</v>
      </c>
      <c r="B20" s="1393"/>
      <c r="C20" s="1393"/>
      <c r="D20" s="1393"/>
      <c r="E20" s="270"/>
      <c r="F20" s="420"/>
      <c r="G20" s="425"/>
      <c r="H20" s="425"/>
      <c r="I20" s="425"/>
      <c r="J20" s="426" t="s">
        <v>223</v>
      </c>
      <c r="K20" s="425">
        <f>+K14+K15+K16+K17+K18+K19</f>
        <v>258.06447351860123</v>
      </c>
      <c r="L20" s="395" t="s">
        <v>4</v>
      </c>
      <c r="M20" s="50"/>
      <c r="N20" s="50"/>
      <c r="O20" s="5"/>
      <c r="V20" s="10"/>
      <c r="W20" s="10"/>
    </row>
    <row r="21" spans="1:23" ht="30" customHeight="1" thickBot="1" x14ac:dyDescent="0.4">
      <c r="A21" s="1394"/>
      <c r="B21" s="1395"/>
      <c r="C21" s="1395"/>
      <c r="D21" s="1395"/>
      <c r="E21" s="427"/>
      <c r="F21" s="428"/>
      <c r="G21" s="429"/>
      <c r="H21" s="429"/>
      <c r="I21" s="429"/>
      <c r="J21" s="430" t="s">
        <v>37</v>
      </c>
      <c r="K21" s="429">
        <f>+K20</f>
        <v>258.06447351860123</v>
      </c>
      <c r="L21" s="431" t="s">
        <v>4</v>
      </c>
      <c r="M21" s="50"/>
      <c r="N21" s="50"/>
      <c r="O21" s="5"/>
      <c r="V21" s="10"/>
      <c r="W21" s="10"/>
    </row>
    <row r="22" spans="1:23" ht="30" customHeight="1" thickBot="1" x14ac:dyDescent="0.4">
      <c r="A22" s="1381"/>
      <c r="B22" s="1382"/>
      <c r="C22" s="1382"/>
      <c r="D22" s="1382"/>
      <c r="E22" s="1382"/>
      <c r="F22" s="1382"/>
      <c r="G22" s="1382"/>
      <c r="H22" s="1382"/>
      <c r="I22" s="1382"/>
      <c r="J22" s="1382"/>
      <c r="K22" s="1382"/>
      <c r="L22" s="1383"/>
      <c r="M22" s="50"/>
      <c r="N22" s="50"/>
      <c r="T22" s="10"/>
      <c r="U22" s="10"/>
    </row>
    <row r="23" spans="1:23" s="396" customFormat="1" ht="30" customHeight="1" x14ac:dyDescent="0.35">
      <c r="A23" s="388" t="s">
        <v>1</v>
      </c>
      <c r="B23" s="389">
        <v>1112</v>
      </c>
      <c r="C23" s="1288" t="s">
        <v>2658</v>
      </c>
      <c r="D23" s="1289"/>
      <c r="E23" s="390" t="s">
        <v>38</v>
      </c>
      <c r="F23" s="391">
        <v>4885.1333765079298</v>
      </c>
      <c r="G23" s="392" t="s">
        <v>3</v>
      </c>
      <c r="H23" s="393" t="s">
        <v>4</v>
      </c>
      <c r="I23" s="392" t="s">
        <v>5</v>
      </c>
      <c r="J23" s="1304" t="s">
        <v>2538</v>
      </c>
      <c r="K23" s="1305"/>
      <c r="L23" s="1306"/>
      <c r="M23" s="123"/>
      <c r="N23" s="51"/>
      <c r="P23" s="384"/>
      <c r="Q23" s="9"/>
      <c r="R23" s="9"/>
      <c r="S23" s="9"/>
      <c r="T23" s="9"/>
      <c r="U23" s="9"/>
      <c r="V23" s="9"/>
    </row>
    <row r="24" spans="1:23" ht="30" customHeight="1" x14ac:dyDescent="0.35">
      <c r="A24" s="185" t="s">
        <v>177</v>
      </c>
      <c r="B24" s="1272" t="s">
        <v>7</v>
      </c>
      <c r="C24" s="1272"/>
      <c r="D24" s="1272"/>
      <c r="E24" s="397" t="s">
        <v>52</v>
      </c>
      <c r="F24" s="397" t="s">
        <v>53</v>
      </c>
      <c r="G24" s="1225" t="s">
        <v>54</v>
      </c>
      <c r="H24" s="1226"/>
      <c r="I24" s="1221" t="s">
        <v>179</v>
      </c>
      <c r="J24" s="1222"/>
      <c r="K24" s="1209" t="s">
        <v>180</v>
      </c>
      <c r="L24" s="1210"/>
      <c r="M24" s="50"/>
      <c r="N24" s="50"/>
      <c r="O24" s="5"/>
      <c r="P24" s="9"/>
      <c r="Q24" s="34"/>
      <c r="R24" s="5"/>
      <c r="S24" s="35"/>
    </row>
    <row r="25" spans="1:23" ht="30" customHeight="1" x14ac:dyDescent="0.35">
      <c r="A25" s="401">
        <v>11110</v>
      </c>
      <c r="B25" s="1265" t="s">
        <v>2649</v>
      </c>
      <c r="C25" s="1265"/>
      <c r="D25" s="1265"/>
      <c r="E25" s="402">
        <v>137.56</v>
      </c>
      <c r="F25" s="407" t="s">
        <v>4</v>
      </c>
      <c r="G25" s="408"/>
      <c r="H25" s="408"/>
      <c r="I25" s="1217">
        <f>+'FY2024 MILCON Inflation Table'!F22</f>
        <v>0.95834826759383673</v>
      </c>
      <c r="J25" s="1218"/>
      <c r="K25" s="189">
        <f>+E25*I25</f>
        <v>131.83038769020817</v>
      </c>
      <c r="L25" s="395" t="s">
        <v>4</v>
      </c>
      <c r="M25" s="52"/>
      <c r="N25" s="52"/>
      <c r="O25" s="5"/>
      <c r="V25" s="10"/>
      <c r="W25" s="10"/>
    </row>
    <row r="26" spans="1:23" ht="30" customHeight="1" thickBot="1" x14ac:dyDescent="0.4">
      <c r="A26" s="409">
        <v>11110</v>
      </c>
      <c r="B26" s="1265" t="s">
        <v>2662</v>
      </c>
      <c r="C26" s="1265"/>
      <c r="D26" s="1265"/>
      <c r="E26" s="411">
        <v>36.590000000000003</v>
      </c>
      <c r="F26" s="407" t="s">
        <v>4</v>
      </c>
      <c r="G26" s="435">
        <v>2</v>
      </c>
      <c r="H26" s="404" t="s">
        <v>2663</v>
      </c>
      <c r="I26" s="1252">
        <f>+I25</f>
        <v>0.95834826759383673</v>
      </c>
      <c r="J26" s="1253"/>
      <c r="K26" s="189">
        <f>+E26*G26*I26</f>
        <v>70.131926222516981</v>
      </c>
      <c r="L26" s="395" t="s">
        <v>4</v>
      </c>
      <c r="M26" s="52"/>
      <c r="N26" s="52"/>
      <c r="O26" s="5"/>
      <c r="V26" s="10"/>
      <c r="W26" s="10"/>
    </row>
    <row r="27" spans="1:23" ht="30" customHeight="1" x14ac:dyDescent="0.35">
      <c r="A27" s="409"/>
      <c r="B27" s="410"/>
      <c r="C27" s="410"/>
      <c r="D27" s="410"/>
      <c r="E27" s="411"/>
      <c r="F27" s="412"/>
      <c r="G27" s="1404" t="s">
        <v>33</v>
      </c>
      <c r="H27" s="1405"/>
      <c r="I27" s="414" t="s">
        <v>42</v>
      </c>
      <c r="J27" s="122">
        <v>0.76</v>
      </c>
      <c r="K27" s="297">
        <f>+K25</f>
        <v>131.83038769020817</v>
      </c>
      <c r="L27" s="395" t="s">
        <v>4</v>
      </c>
      <c r="M27" s="52"/>
      <c r="N27" s="52"/>
      <c r="O27" s="5"/>
      <c r="V27" s="10"/>
      <c r="W27" s="10"/>
    </row>
    <row r="28" spans="1:23" ht="30" customHeight="1" thickBot="1" x14ac:dyDescent="0.4">
      <c r="A28" s="409"/>
      <c r="B28" s="410"/>
      <c r="C28" s="410"/>
      <c r="D28" s="410"/>
      <c r="E28" s="411"/>
      <c r="F28" s="412"/>
      <c r="G28" s="1406"/>
      <c r="H28" s="1407"/>
      <c r="I28" s="3" t="s">
        <v>43</v>
      </c>
      <c r="J28" s="418">
        <v>0.24</v>
      </c>
      <c r="K28" s="297">
        <f>+K26</f>
        <v>70.131926222516981</v>
      </c>
      <c r="L28" s="395" t="s">
        <v>4</v>
      </c>
      <c r="M28" s="52"/>
      <c r="N28" s="52"/>
      <c r="O28" s="5"/>
      <c r="V28" s="10"/>
      <c r="W28" s="10"/>
    </row>
    <row r="29" spans="1:23" ht="30" customHeight="1" x14ac:dyDescent="0.35">
      <c r="A29" s="407"/>
      <c r="E29" s="419"/>
      <c r="F29" s="420"/>
      <c r="G29" s="421"/>
      <c r="H29" s="421"/>
      <c r="I29" s="421"/>
      <c r="J29" s="421" t="s">
        <v>240</v>
      </c>
      <c r="K29" s="315">
        <f>+(K27*J27)+(K28*J28)</f>
        <v>117.02275693796228</v>
      </c>
      <c r="L29" s="395" t="s">
        <v>4</v>
      </c>
      <c r="M29" s="52"/>
      <c r="N29" s="52"/>
      <c r="O29" s="5"/>
      <c r="V29" s="10"/>
      <c r="W29" s="10"/>
    </row>
    <row r="30" spans="1:23" ht="30" customHeight="1" x14ac:dyDescent="0.35">
      <c r="A30" s="420">
        <v>93410</v>
      </c>
      <c r="B30" s="1265" t="s">
        <v>2660</v>
      </c>
      <c r="C30" s="1265"/>
      <c r="D30" s="1265"/>
      <c r="E30" s="402">
        <v>12.99</v>
      </c>
      <c r="F30" s="420" t="s">
        <v>16</v>
      </c>
      <c r="G30" s="421">
        <v>0.33329999999999999</v>
      </c>
      <c r="H30" s="422" t="s">
        <v>1827</v>
      </c>
      <c r="I30" s="1217">
        <f>+I25</f>
        <v>0.95834826759383673</v>
      </c>
      <c r="J30" s="1218"/>
      <c r="K30" s="315">
        <f>+E30*G30*I30</f>
        <v>4.1492330338814449</v>
      </c>
      <c r="L30" s="395" t="s">
        <v>4</v>
      </c>
      <c r="M30" s="52"/>
      <c r="N30" s="52"/>
      <c r="O30" s="5"/>
      <c r="V30" s="10"/>
      <c r="W30" s="10"/>
    </row>
    <row r="31" spans="1:23" ht="30" customHeight="1" x14ac:dyDescent="0.35">
      <c r="A31" s="420">
        <v>93410</v>
      </c>
      <c r="B31" s="1265" t="s">
        <v>2659</v>
      </c>
      <c r="C31" s="1265"/>
      <c r="D31" s="1265"/>
      <c r="E31" s="402">
        <v>20.86</v>
      </c>
      <c r="F31" s="420" t="s">
        <v>16</v>
      </c>
      <c r="G31" s="421">
        <v>0.33329999999999999</v>
      </c>
      <c r="H31" s="422" t="s">
        <v>1827</v>
      </c>
      <c r="I31" s="1217">
        <f>+I25</f>
        <v>0.95834826759383673</v>
      </c>
      <c r="J31" s="1218"/>
      <c r="K31" s="315">
        <f>+E31*G31*I31</f>
        <v>6.6630485825070771</v>
      </c>
      <c r="L31" s="395" t="s">
        <v>4</v>
      </c>
      <c r="M31" s="52"/>
      <c r="N31" s="52"/>
      <c r="O31" s="5"/>
      <c r="V31" s="10"/>
      <c r="W31" s="10"/>
    </row>
    <row r="32" spans="1:23" ht="30" customHeight="1" x14ac:dyDescent="0.35">
      <c r="A32" s="420">
        <v>93210</v>
      </c>
      <c r="B32" s="1265" t="s">
        <v>2661</v>
      </c>
      <c r="C32" s="1265"/>
      <c r="D32" s="1265"/>
      <c r="E32" s="423">
        <v>5.84</v>
      </c>
      <c r="F32" s="420" t="s">
        <v>4</v>
      </c>
      <c r="G32" s="421"/>
      <c r="H32" s="422"/>
      <c r="I32" s="1252">
        <f>+I25</f>
        <v>0.95834826759383673</v>
      </c>
      <c r="J32" s="1253"/>
      <c r="K32" s="189">
        <f>+E32*I32</f>
        <v>5.5967538827480068</v>
      </c>
      <c r="L32" s="395" t="s">
        <v>4</v>
      </c>
      <c r="M32" s="52"/>
      <c r="N32" s="52"/>
      <c r="O32" s="5"/>
      <c r="V32" s="10"/>
      <c r="W32" s="10"/>
    </row>
    <row r="33" spans="1:23" ht="30" customHeight="1" x14ac:dyDescent="0.35">
      <c r="A33" s="409">
        <v>11110</v>
      </c>
      <c r="B33" s="1251" t="s">
        <v>2652</v>
      </c>
      <c r="C33" s="1251"/>
      <c r="D33" s="1251"/>
      <c r="E33" s="411">
        <v>8.31</v>
      </c>
      <c r="F33" s="407" t="s">
        <v>108</v>
      </c>
      <c r="G33" s="278">
        <f>9*0.06</f>
        <v>0.54</v>
      </c>
      <c r="H33" s="278" t="s">
        <v>2654</v>
      </c>
      <c r="I33" s="1217">
        <f>+I25</f>
        <v>0.95834826759383673</v>
      </c>
      <c r="J33" s="1218"/>
      <c r="K33" s="425">
        <f>+E33*G33*I33</f>
        <v>4.3004920160005842</v>
      </c>
      <c r="L33" s="395" t="s">
        <v>4</v>
      </c>
      <c r="M33" s="52"/>
      <c r="N33" s="52"/>
      <c r="O33" s="5"/>
      <c r="V33" s="10"/>
      <c r="W33" s="10"/>
    </row>
    <row r="34" spans="1:23" ht="30" customHeight="1" x14ac:dyDescent="0.35">
      <c r="A34" s="278"/>
      <c r="B34" s="270"/>
      <c r="C34" s="270"/>
      <c r="D34" s="270"/>
      <c r="E34" s="270"/>
      <c r="F34" s="420"/>
      <c r="G34" s="425"/>
      <c r="H34" s="425"/>
      <c r="I34" s="425"/>
      <c r="J34" s="426" t="s">
        <v>223</v>
      </c>
      <c r="K34" s="425">
        <f>+K29+K30+K31+K32+K33</f>
        <v>137.7322844530994</v>
      </c>
      <c r="L34" s="395" t="s">
        <v>4</v>
      </c>
      <c r="M34" s="50"/>
      <c r="N34" s="50"/>
      <c r="O34" s="5"/>
      <c r="V34" s="10"/>
      <c r="W34" s="10"/>
    </row>
    <row r="35" spans="1:23" ht="30" customHeight="1" thickBot="1" x14ac:dyDescent="0.4">
      <c r="A35" s="1323" t="s">
        <v>2657</v>
      </c>
      <c r="B35" s="1324"/>
      <c r="C35" s="1324"/>
      <c r="D35" s="1325"/>
      <c r="E35" s="436"/>
      <c r="F35" s="428"/>
      <c r="G35" s="429"/>
      <c r="H35" s="429"/>
      <c r="I35" s="429"/>
      <c r="J35" s="430" t="s">
        <v>37</v>
      </c>
      <c r="K35" s="429">
        <f>+K34</f>
        <v>137.7322844530994</v>
      </c>
      <c r="L35" s="431" t="s">
        <v>4</v>
      </c>
      <c r="M35" s="50"/>
      <c r="N35" s="50"/>
      <c r="O35" s="5"/>
      <c r="V35" s="10"/>
      <c r="W35" s="10"/>
    </row>
    <row r="36" spans="1:23" ht="30" customHeight="1" thickBot="1" x14ac:dyDescent="0.4">
      <c r="A36" s="1381"/>
      <c r="B36" s="1382"/>
      <c r="C36" s="1382"/>
      <c r="D36" s="1382"/>
      <c r="E36" s="1382"/>
      <c r="F36" s="1382"/>
      <c r="G36" s="1382"/>
      <c r="H36" s="1382"/>
      <c r="I36" s="1382"/>
      <c r="J36" s="1382"/>
      <c r="K36" s="1382"/>
      <c r="L36" s="1383"/>
      <c r="M36" s="50"/>
      <c r="N36" s="50"/>
      <c r="T36" s="10"/>
      <c r="U36" s="10"/>
    </row>
    <row r="37" spans="1:23" s="396" customFormat="1" ht="30" customHeight="1" x14ac:dyDescent="0.35">
      <c r="A37" s="388" t="s">
        <v>1</v>
      </c>
      <c r="B37" s="389">
        <v>1113</v>
      </c>
      <c r="C37" s="1487" t="s">
        <v>44</v>
      </c>
      <c r="D37" s="1488"/>
      <c r="E37" s="390" t="s">
        <v>38</v>
      </c>
      <c r="F37" s="391">
        <v>25895.860276816598</v>
      </c>
      <c r="G37" s="392" t="s">
        <v>3</v>
      </c>
      <c r="H37" s="393" t="s">
        <v>4</v>
      </c>
      <c r="I37" s="392" t="s">
        <v>5</v>
      </c>
      <c r="J37" s="1304" t="s">
        <v>2538</v>
      </c>
      <c r="K37" s="1305"/>
      <c r="L37" s="1306"/>
      <c r="M37" s="123"/>
      <c r="N37" s="51"/>
      <c r="P37" s="384"/>
      <c r="Q37" s="9"/>
      <c r="R37" s="9"/>
      <c r="S37" s="9"/>
      <c r="T37" s="9"/>
      <c r="U37" s="9"/>
      <c r="V37" s="9"/>
    </row>
    <row r="38" spans="1:23" ht="30" customHeight="1" x14ac:dyDescent="0.35">
      <c r="A38" s="185" t="s">
        <v>177</v>
      </c>
      <c r="B38" s="1272" t="s">
        <v>7</v>
      </c>
      <c r="C38" s="1272"/>
      <c r="D38" s="1272"/>
      <c r="E38" s="397" t="s">
        <v>52</v>
      </c>
      <c r="F38" s="397" t="s">
        <v>53</v>
      </c>
      <c r="G38" s="1225" t="s">
        <v>54</v>
      </c>
      <c r="H38" s="1226"/>
      <c r="I38" s="1221" t="s">
        <v>179</v>
      </c>
      <c r="J38" s="1222"/>
      <c r="K38" s="1209" t="s">
        <v>180</v>
      </c>
      <c r="L38" s="1210"/>
      <c r="M38" s="50"/>
      <c r="N38" s="50"/>
      <c r="O38" s="5"/>
      <c r="P38" s="9"/>
      <c r="Q38" s="34"/>
      <c r="R38" s="5"/>
      <c r="S38" s="35"/>
    </row>
    <row r="39" spans="1:23" ht="30" customHeight="1" x14ac:dyDescent="0.35">
      <c r="A39" s="401">
        <v>11110</v>
      </c>
      <c r="B39" s="1265" t="s">
        <v>2648</v>
      </c>
      <c r="C39" s="1265"/>
      <c r="D39" s="1265"/>
      <c r="E39" s="402">
        <v>180.36</v>
      </c>
      <c r="F39" s="191" t="s">
        <v>4</v>
      </c>
      <c r="G39" s="403"/>
      <c r="H39" s="437"/>
      <c r="I39" s="1217">
        <f>+'FY2024 MILCON Inflation Table'!F22</f>
        <v>0.95834826759383673</v>
      </c>
      <c r="J39" s="1218"/>
      <c r="K39" s="189">
        <f>+E39*I39</f>
        <v>172.84769354322441</v>
      </c>
      <c r="L39" s="395" t="s">
        <v>4</v>
      </c>
      <c r="M39" s="50"/>
      <c r="N39" s="50"/>
      <c r="O39" s="384"/>
      <c r="P39" s="9"/>
      <c r="Q39" s="34"/>
      <c r="R39" s="5"/>
      <c r="S39" s="35"/>
    </row>
    <row r="40" spans="1:23" ht="30" customHeight="1" x14ac:dyDescent="0.35">
      <c r="A40" s="420">
        <v>93410</v>
      </c>
      <c r="B40" s="1265" t="s">
        <v>2660</v>
      </c>
      <c r="C40" s="1265"/>
      <c r="D40" s="1265"/>
      <c r="E40" s="402">
        <v>12.99</v>
      </c>
      <c r="F40" s="420" t="s">
        <v>16</v>
      </c>
      <c r="G40" s="421">
        <v>0.33329999999999999</v>
      </c>
      <c r="H40" s="422" t="s">
        <v>1827</v>
      </c>
      <c r="I40" s="1217">
        <f>+I39</f>
        <v>0.95834826759383673</v>
      </c>
      <c r="J40" s="1218"/>
      <c r="K40" s="315">
        <f>+E40*G40*I40</f>
        <v>4.1492330338814449</v>
      </c>
      <c r="L40" s="395" t="s">
        <v>4</v>
      </c>
      <c r="M40" s="52"/>
      <c r="N40" s="52"/>
      <c r="O40" s="5"/>
      <c r="V40" s="10"/>
      <c r="W40" s="10"/>
    </row>
    <row r="41" spans="1:23" ht="30" customHeight="1" x14ac:dyDescent="0.35">
      <c r="A41" s="420">
        <v>93410</v>
      </c>
      <c r="B41" s="1265" t="s">
        <v>2659</v>
      </c>
      <c r="C41" s="1265"/>
      <c r="D41" s="1265"/>
      <c r="E41" s="402">
        <v>20.86</v>
      </c>
      <c r="F41" s="420" t="s">
        <v>16</v>
      </c>
      <c r="G41" s="421">
        <v>0.33329999999999999</v>
      </c>
      <c r="H41" s="422" t="s">
        <v>1827</v>
      </c>
      <c r="I41" s="1217">
        <f>+I39</f>
        <v>0.95834826759383673</v>
      </c>
      <c r="J41" s="1218"/>
      <c r="K41" s="315">
        <f>+E41*G41*I41</f>
        <v>6.6630485825070771</v>
      </c>
      <c r="L41" s="395" t="s">
        <v>4</v>
      </c>
      <c r="M41" s="52"/>
      <c r="N41" s="52"/>
      <c r="O41" s="5"/>
      <c r="V41" s="10"/>
      <c r="W41" s="10"/>
    </row>
    <row r="42" spans="1:23" ht="30" customHeight="1" x14ac:dyDescent="0.35">
      <c r="A42" s="420">
        <v>93210</v>
      </c>
      <c r="B42" s="1265" t="s">
        <v>2661</v>
      </c>
      <c r="C42" s="1265"/>
      <c r="D42" s="1265"/>
      <c r="E42" s="423">
        <v>5.84</v>
      </c>
      <c r="F42" s="420" t="s">
        <v>4</v>
      </c>
      <c r="G42" s="421"/>
      <c r="H42" s="422"/>
      <c r="I42" s="1252">
        <f>+I40</f>
        <v>0.95834826759383673</v>
      </c>
      <c r="J42" s="1253"/>
      <c r="K42" s="189">
        <f>+E42*I42</f>
        <v>5.5967538827480068</v>
      </c>
      <c r="L42" s="395" t="s">
        <v>4</v>
      </c>
      <c r="M42" s="52"/>
      <c r="N42" s="52"/>
      <c r="O42" s="5"/>
      <c r="V42" s="10"/>
      <c r="W42" s="10"/>
    </row>
    <row r="43" spans="1:23" ht="30" customHeight="1" x14ac:dyDescent="0.35">
      <c r="A43" s="401">
        <v>11110</v>
      </c>
      <c r="B43" s="1265" t="s">
        <v>2651</v>
      </c>
      <c r="C43" s="1265"/>
      <c r="D43" s="1265"/>
      <c r="E43" s="402">
        <v>43.94</v>
      </c>
      <c r="F43" s="420" t="s">
        <v>4</v>
      </c>
      <c r="G43" s="278"/>
      <c r="H43" s="278"/>
      <c r="I43" s="1217">
        <f>+I39</f>
        <v>0.95834826759383673</v>
      </c>
      <c r="J43" s="1218"/>
      <c r="K43" s="189">
        <f>+E43*I43</f>
        <v>42.109822878073182</v>
      </c>
      <c r="L43" s="395" t="s">
        <v>4</v>
      </c>
      <c r="M43" s="52"/>
      <c r="N43" s="52"/>
      <c r="O43" s="5"/>
      <c r="V43" s="10"/>
      <c r="W43" s="10"/>
    </row>
    <row r="44" spans="1:23" ht="30" customHeight="1" x14ac:dyDescent="0.35">
      <c r="A44" s="270"/>
      <c r="B44" s="270"/>
      <c r="C44" s="270"/>
      <c r="D44" s="270"/>
      <c r="E44" s="270"/>
      <c r="F44" s="420"/>
      <c r="G44" s="425"/>
      <c r="H44" s="425"/>
      <c r="I44" s="425"/>
      <c r="J44" s="426" t="s">
        <v>223</v>
      </c>
      <c r="K44" s="425">
        <f>SUM(K39:K43)</f>
        <v>231.36655192043412</v>
      </c>
      <c r="L44" s="395" t="s">
        <v>4</v>
      </c>
      <c r="M44" s="50"/>
      <c r="N44" s="50"/>
      <c r="O44" s="5"/>
      <c r="V44" s="10"/>
      <c r="W44" s="10"/>
    </row>
    <row r="45" spans="1:23" ht="30" customHeight="1" thickBot="1" x14ac:dyDescent="0.4">
      <c r="A45" s="1392" t="s">
        <v>2664</v>
      </c>
      <c r="B45" s="1393"/>
      <c r="C45" s="1393"/>
      <c r="D45" s="1322"/>
      <c r="E45" s="427"/>
      <c r="F45" s="428"/>
      <c r="G45" s="429"/>
      <c r="H45" s="429"/>
      <c r="I45" s="429"/>
      <c r="J45" s="430" t="s">
        <v>37</v>
      </c>
      <c r="K45" s="429">
        <f>+K44</f>
        <v>231.36655192043412</v>
      </c>
      <c r="L45" s="431" t="s">
        <v>4</v>
      </c>
      <c r="M45" s="50"/>
      <c r="N45" s="50"/>
      <c r="O45" s="5"/>
      <c r="V45" s="10"/>
      <c r="W45" s="10"/>
    </row>
    <row r="46" spans="1:23" ht="30" customHeight="1" thickBot="1" x14ac:dyDescent="0.4">
      <c r="A46" s="1381"/>
      <c r="B46" s="1382"/>
      <c r="C46" s="1382"/>
      <c r="D46" s="1382"/>
      <c r="E46" s="1382"/>
      <c r="F46" s="1382"/>
      <c r="G46" s="1382"/>
      <c r="H46" s="1382"/>
      <c r="I46" s="1382"/>
      <c r="J46" s="1382"/>
      <c r="K46" s="1382"/>
      <c r="L46" s="1383"/>
      <c r="M46" s="50"/>
      <c r="N46" s="50"/>
      <c r="T46" s="10"/>
      <c r="U46" s="10"/>
    </row>
    <row r="47" spans="1:23" s="396" customFormat="1" ht="30" customHeight="1" x14ac:dyDescent="0.35">
      <c r="A47" s="388" t="s">
        <v>1</v>
      </c>
      <c r="B47" s="439">
        <v>1114</v>
      </c>
      <c r="C47" s="1384" t="s">
        <v>46</v>
      </c>
      <c r="D47" s="1385"/>
      <c r="E47" s="390" t="s">
        <v>38</v>
      </c>
      <c r="F47" s="391">
        <v>25895.860276816598</v>
      </c>
      <c r="G47" s="392" t="s">
        <v>3</v>
      </c>
      <c r="H47" s="393" t="s">
        <v>4</v>
      </c>
      <c r="I47" s="392" t="s">
        <v>5</v>
      </c>
      <c r="J47" s="1304" t="s">
        <v>2873</v>
      </c>
      <c r="K47" s="1305"/>
      <c r="L47" s="1306"/>
      <c r="M47" s="123"/>
      <c r="N47" s="51"/>
      <c r="P47" s="384"/>
      <c r="Q47" s="9"/>
      <c r="R47" s="9"/>
      <c r="S47" s="9"/>
      <c r="T47" s="9"/>
      <c r="U47" s="9"/>
      <c r="V47" s="9"/>
    </row>
    <row r="48" spans="1:23" ht="30" customHeight="1" x14ac:dyDescent="0.35">
      <c r="A48" s="185" t="s">
        <v>177</v>
      </c>
      <c r="B48" s="1272" t="s">
        <v>7</v>
      </c>
      <c r="C48" s="1272"/>
      <c r="D48" s="1272"/>
      <c r="E48" s="397" t="s">
        <v>52</v>
      </c>
      <c r="F48" s="397" t="s">
        <v>53</v>
      </c>
      <c r="G48" s="1225" t="s">
        <v>54</v>
      </c>
      <c r="H48" s="1226"/>
      <c r="I48" s="1221" t="s">
        <v>179</v>
      </c>
      <c r="J48" s="1222"/>
      <c r="K48" s="1209" t="s">
        <v>180</v>
      </c>
      <c r="L48" s="1210"/>
      <c r="M48" s="50"/>
      <c r="N48" s="50"/>
      <c r="O48" s="5"/>
      <c r="P48" s="9"/>
      <c r="Q48" s="34"/>
      <c r="R48" s="5"/>
      <c r="S48" s="35"/>
    </row>
    <row r="49" spans="1:23" ht="30" customHeight="1" x14ac:dyDescent="0.35">
      <c r="A49" s="420">
        <v>93410</v>
      </c>
      <c r="B49" s="1265" t="s">
        <v>2660</v>
      </c>
      <c r="C49" s="1265"/>
      <c r="D49" s="1265"/>
      <c r="E49" s="402">
        <v>18.100000000000001</v>
      </c>
      <c r="F49" s="420" t="s">
        <v>16</v>
      </c>
      <c r="G49" s="421">
        <v>0.33329999999999999</v>
      </c>
      <c r="H49" s="422" t="s">
        <v>1827</v>
      </c>
      <c r="I49" s="1217">
        <f>+'FY2024 MILCON Inflation Table'!F23</f>
        <v>0.93863689284411045</v>
      </c>
      <c r="J49" s="1218"/>
      <c r="K49" s="315">
        <f>+E49*G49*I49</f>
        <v>5.6625429425674501</v>
      </c>
      <c r="L49" s="395" t="s">
        <v>4</v>
      </c>
      <c r="M49" s="52"/>
      <c r="N49" s="52"/>
      <c r="O49" s="5"/>
      <c r="V49" s="10"/>
      <c r="W49" s="10"/>
    </row>
    <row r="50" spans="1:23" ht="30" customHeight="1" x14ac:dyDescent="0.35">
      <c r="A50" s="420">
        <v>93410</v>
      </c>
      <c r="B50" s="1265" t="s">
        <v>2659</v>
      </c>
      <c r="C50" s="1265"/>
      <c r="D50" s="1265"/>
      <c r="E50" s="402">
        <v>32.81</v>
      </c>
      <c r="F50" s="420" t="s">
        <v>16</v>
      </c>
      <c r="G50" s="421">
        <v>0.33329999999999999</v>
      </c>
      <c r="H50" s="422" t="s">
        <v>1827</v>
      </c>
      <c r="I50" s="1217">
        <f>+I49</f>
        <v>0.93863689284411045</v>
      </c>
      <c r="J50" s="1218"/>
      <c r="K50" s="315">
        <f>+E50*G50*I50</f>
        <v>10.264532262189947</v>
      </c>
      <c r="L50" s="395" t="s">
        <v>4</v>
      </c>
      <c r="M50" s="52"/>
      <c r="N50" s="52"/>
      <c r="O50" s="5"/>
      <c r="V50" s="10"/>
      <c r="W50" s="10"/>
    </row>
    <row r="51" spans="1:23" ht="30" customHeight="1" x14ac:dyDescent="0.35">
      <c r="A51" s="420">
        <v>93220</v>
      </c>
      <c r="B51" s="1265" t="s">
        <v>2666</v>
      </c>
      <c r="C51" s="1265"/>
      <c r="D51" s="1265"/>
      <c r="E51" s="411">
        <v>20.83</v>
      </c>
      <c r="F51" s="420" t="s">
        <v>4</v>
      </c>
      <c r="G51" s="440"/>
      <c r="H51" s="422"/>
      <c r="I51" s="1217">
        <f>+I49</f>
        <v>0.93863689284411045</v>
      </c>
      <c r="J51" s="1218"/>
      <c r="K51" s="315">
        <f>+E51*I51</f>
        <v>19.551806477942819</v>
      </c>
      <c r="L51" s="395" t="s">
        <v>4</v>
      </c>
      <c r="M51" s="52"/>
      <c r="N51" s="52"/>
      <c r="O51" s="5"/>
      <c r="V51" s="10"/>
      <c r="W51" s="10"/>
    </row>
    <row r="52" spans="1:23" ht="30" customHeight="1" x14ac:dyDescent="0.35">
      <c r="A52" s="420">
        <v>93210</v>
      </c>
      <c r="B52" s="1265" t="s">
        <v>2661</v>
      </c>
      <c r="C52" s="1265"/>
      <c r="D52" s="1265"/>
      <c r="E52" s="411">
        <v>4.42</v>
      </c>
      <c r="F52" s="420" t="s">
        <v>4</v>
      </c>
      <c r="G52" s="421"/>
      <c r="H52" s="422"/>
      <c r="I52" s="1252">
        <f>+I49</f>
        <v>0.93863689284411045</v>
      </c>
      <c r="J52" s="1253"/>
      <c r="K52" s="189">
        <f>+E52*I52</f>
        <v>4.1487750663709679</v>
      </c>
      <c r="L52" s="395" t="s">
        <v>4</v>
      </c>
      <c r="M52" s="52"/>
      <c r="N52" s="52"/>
      <c r="O52" s="5"/>
      <c r="V52" s="10"/>
      <c r="W52" s="10"/>
    </row>
    <row r="53" spans="1:23" ht="30" customHeight="1" x14ac:dyDescent="0.35">
      <c r="A53" s="420">
        <v>85110</v>
      </c>
      <c r="B53" s="1265" t="s">
        <v>2665</v>
      </c>
      <c r="C53" s="1265"/>
      <c r="D53" s="1265"/>
      <c r="E53" s="411">
        <v>5.59</v>
      </c>
      <c r="F53" s="420" t="s">
        <v>4</v>
      </c>
      <c r="G53" s="421">
        <v>1.5</v>
      </c>
      <c r="H53" s="441" t="s">
        <v>2667</v>
      </c>
      <c r="I53" s="1252">
        <f>+I49</f>
        <v>0.93863689284411045</v>
      </c>
      <c r="J53" s="1253"/>
      <c r="K53" s="297">
        <f>+E53*G53*I53</f>
        <v>7.870470346497866</v>
      </c>
      <c r="L53" s="395" t="s">
        <v>4</v>
      </c>
      <c r="M53" s="52"/>
      <c r="N53" s="52"/>
      <c r="O53" s="5"/>
      <c r="V53" s="10"/>
      <c r="W53" s="10"/>
    </row>
    <row r="54" spans="1:23" ht="30" customHeight="1" x14ac:dyDescent="0.35">
      <c r="A54" s="270"/>
      <c r="B54" s="270"/>
      <c r="C54" s="270"/>
      <c r="D54" s="270"/>
      <c r="E54" s="270"/>
      <c r="F54" s="420"/>
      <c r="G54" s="425"/>
      <c r="H54" s="425"/>
      <c r="I54" s="425"/>
      <c r="J54" s="426" t="s">
        <v>223</v>
      </c>
      <c r="K54" s="425">
        <f>SUM(K49:K53)</f>
        <v>47.498127095569053</v>
      </c>
      <c r="L54" s="395" t="s">
        <v>4</v>
      </c>
      <c r="M54" s="50"/>
      <c r="N54" s="50"/>
      <c r="O54" s="5"/>
      <c r="V54" s="10"/>
      <c r="W54" s="10"/>
    </row>
    <row r="55" spans="1:23" ht="30" customHeight="1" thickBot="1" x14ac:dyDescent="0.4">
      <c r="A55" s="1392" t="s">
        <v>2664</v>
      </c>
      <c r="B55" s="1393"/>
      <c r="C55" s="1393"/>
      <c r="D55" s="1322"/>
      <c r="E55" s="427"/>
      <c r="F55" s="428"/>
      <c r="G55" s="429"/>
      <c r="H55" s="429"/>
      <c r="I55" s="429"/>
      <c r="J55" s="430" t="s">
        <v>37</v>
      </c>
      <c r="K55" s="429">
        <f>+K54</f>
        <v>47.498127095569053</v>
      </c>
      <c r="L55" s="431" t="s">
        <v>4</v>
      </c>
      <c r="M55" s="50"/>
      <c r="N55" s="50"/>
      <c r="O55" s="5"/>
      <c r="V55" s="10"/>
      <c r="W55" s="10"/>
    </row>
    <row r="56" spans="1:23" ht="30" customHeight="1" thickBot="1" x14ac:dyDescent="0.4">
      <c r="A56" s="1381"/>
      <c r="B56" s="1382"/>
      <c r="C56" s="1382"/>
      <c r="D56" s="1382"/>
      <c r="E56" s="1382"/>
      <c r="F56" s="1382"/>
      <c r="G56" s="1382"/>
      <c r="H56" s="1382"/>
      <c r="I56" s="1382"/>
      <c r="J56" s="1382"/>
      <c r="K56" s="1382"/>
      <c r="L56" s="1383"/>
      <c r="M56" s="50"/>
      <c r="N56" s="50"/>
      <c r="T56" s="10"/>
      <c r="U56" s="10"/>
    </row>
    <row r="57" spans="1:23" s="396" customFormat="1" ht="30" customHeight="1" x14ac:dyDescent="0.35">
      <c r="A57" s="388" t="s">
        <v>1</v>
      </c>
      <c r="B57" s="439">
        <v>1115</v>
      </c>
      <c r="C57" s="1408" t="s">
        <v>48</v>
      </c>
      <c r="D57" s="1409"/>
      <c r="E57" s="390" t="s">
        <v>38</v>
      </c>
      <c r="F57" s="391">
        <v>10989.490250000001</v>
      </c>
      <c r="G57" s="392" t="s">
        <v>3</v>
      </c>
      <c r="H57" s="393" t="s">
        <v>4</v>
      </c>
      <c r="I57" s="392" t="s">
        <v>5</v>
      </c>
      <c r="J57" s="1304" t="s">
        <v>2538</v>
      </c>
      <c r="K57" s="1305"/>
      <c r="L57" s="1306"/>
      <c r="M57" s="123"/>
      <c r="N57" s="51"/>
      <c r="P57" s="384"/>
      <c r="Q57" s="9"/>
      <c r="R57" s="9"/>
      <c r="S57" s="9"/>
      <c r="T57" s="9"/>
      <c r="U57" s="9"/>
      <c r="V57" s="9"/>
    </row>
    <row r="58" spans="1:23" ht="30" customHeight="1" x14ac:dyDescent="0.35">
      <c r="A58" s="185" t="s">
        <v>177</v>
      </c>
      <c r="B58" s="1272" t="s">
        <v>7</v>
      </c>
      <c r="C58" s="1272"/>
      <c r="D58" s="1272"/>
      <c r="E58" s="397" t="s">
        <v>52</v>
      </c>
      <c r="F58" s="397" t="s">
        <v>53</v>
      </c>
      <c r="G58" s="1225" t="s">
        <v>54</v>
      </c>
      <c r="H58" s="1226"/>
      <c r="I58" s="1221" t="s">
        <v>179</v>
      </c>
      <c r="J58" s="1222"/>
      <c r="K58" s="1209" t="s">
        <v>180</v>
      </c>
      <c r="L58" s="1210"/>
      <c r="M58" s="50"/>
      <c r="N58" s="50"/>
      <c r="O58" s="5"/>
      <c r="P58" s="9"/>
      <c r="Q58" s="34"/>
      <c r="R58" s="5"/>
      <c r="S58" s="35"/>
    </row>
    <row r="59" spans="1:23" ht="30" customHeight="1" x14ac:dyDescent="0.35">
      <c r="A59" s="409">
        <v>11110</v>
      </c>
      <c r="B59" s="1265" t="s">
        <v>2662</v>
      </c>
      <c r="C59" s="1265"/>
      <c r="D59" s="1265"/>
      <c r="E59" s="411">
        <v>36.590000000000003</v>
      </c>
      <c r="F59" s="407" t="s">
        <v>4</v>
      </c>
      <c r="G59" s="435">
        <v>2</v>
      </c>
      <c r="H59" s="404" t="s">
        <v>2668</v>
      </c>
      <c r="I59" s="1252">
        <f>+'FY2024 MILCON Inflation Table'!F22</f>
        <v>0.95834826759383673</v>
      </c>
      <c r="J59" s="1253"/>
      <c r="K59" s="189">
        <f>+E59*G59*I59</f>
        <v>70.131926222516981</v>
      </c>
      <c r="L59" s="395" t="s">
        <v>4</v>
      </c>
      <c r="M59" s="52"/>
      <c r="N59" s="52"/>
      <c r="O59" s="5"/>
      <c r="V59" s="10"/>
      <c r="W59" s="10"/>
    </row>
    <row r="60" spans="1:23" ht="30" customHeight="1" x14ac:dyDescent="0.35">
      <c r="A60" s="409">
        <v>85110</v>
      </c>
      <c r="B60" s="1265" t="s">
        <v>2824</v>
      </c>
      <c r="C60" s="1265"/>
      <c r="D60" s="1265"/>
      <c r="E60" s="411">
        <v>25.98</v>
      </c>
      <c r="F60" s="420" t="s">
        <v>4</v>
      </c>
      <c r="G60" s="435"/>
      <c r="H60" s="404"/>
      <c r="I60" s="1217">
        <f>+I59</f>
        <v>0.95834826759383673</v>
      </c>
      <c r="J60" s="1218"/>
      <c r="K60" s="189">
        <f>+E60*I60</f>
        <v>24.897887992087878</v>
      </c>
      <c r="L60" s="395" t="s">
        <v>4</v>
      </c>
      <c r="M60" s="52"/>
      <c r="N60" s="52"/>
      <c r="O60" s="5"/>
      <c r="V60" s="10"/>
      <c r="W60" s="10"/>
    </row>
    <row r="61" spans="1:23" ht="30" customHeight="1" x14ac:dyDescent="0.35">
      <c r="A61" s="420">
        <v>93410</v>
      </c>
      <c r="B61" s="1265" t="s">
        <v>2660</v>
      </c>
      <c r="C61" s="1265"/>
      <c r="D61" s="1265"/>
      <c r="E61" s="402">
        <v>12.99</v>
      </c>
      <c r="F61" s="420" t="s">
        <v>16</v>
      </c>
      <c r="G61" s="421">
        <v>0.33329999999999999</v>
      </c>
      <c r="H61" s="422" t="s">
        <v>1827</v>
      </c>
      <c r="I61" s="1217">
        <f>+I59</f>
        <v>0.95834826759383673</v>
      </c>
      <c r="J61" s="1218"/>
      <c r="K61" s="315">
        <f>+E61*G61*I61</f>
        <v>4.1492330338814449</v>
      </c>
      <c r="L61" s="395" t="s">
        <v>4</v>
      </c>
      <c r="M61" s="52"/>
      <c r="N61" s="52"/>
      <c r="O61" s="5"/>
      <c r="V61" s="10"/>
      <c r="W61" s="10"/>
    </row>
    <row r="62" spans="1:23" ht="30" customHeight="1" x14ac:dyDescent="0.35">
      <c r="A62" s="420">
        <v>93410</v>
      </c>
      <c r="B62" s="1265" t="s">
        <v>2659</v>
      </c>
      <c r="C62" s="1265"/>
      <c r="D62" s="1265"/>
      <c r="E62" s="402">
        <v>20.86</v>
      </c>
      <c r="F62" s="420" t="s">
        <v>16</v>
      </c>
      <c r="G62" s="421">
        <v>0.33329999999999999</v>
      </c>
      <c r="H62" s="422" t="s">
        <v>1827</v>
      </c>
      <c r="I62" s="1217">
        <f>+I59</f>
        <v>0.95834826759383673</v>
      </c>
      <c r="J62" s="1218"/>
      <c r="K62" s="315">
        <f>+E62*G62*I62</f>
        <v>6.6630485825070771</v>
      </c>
      <c r="L62" s="395" t="s">
        <v>4</v>
      </c>
      <c r="M62" s="52"/>
      <c r="N62" s="52"/>
      <c r="O62" s="5"/>
      <c r="V62" s="10"/>
      <c r="W62" s="10"/>
    </row>
    <row r="63" spans="1:23" ht="30" customHeight="1" x14ac:dyDescent="0.35">
      <c r="A63" s="420">
        <v>93210</v>
      </c>
      <c r="B63" s="1265" t="s">
        <v>2661</v>
      </c>
      <c r="C63" s="1265"/>
      <c r="D63" s="1265"/>
      <c r="E63" s="423">
        <v>5.84</v>
      </c>
      <c r="F63" s="420" t="s">
        <v>4</v>
      </c>
      <c r="G63" s="421"/>
      <c r="H63" s="422"/>
      <c r="I63" s="1252">
        <f>+I59</f>
        <v>0.95834826759383673</v>
      </c>
      <c r="J63" s="1253"/>
      <c r="K63" s="189">
        <f>+E63*I63</f>
        <v>5.5967538827480068</v>
      </c>
      <c r="L63" s="395" t="s">
        <v>4</v>
      </c>
      <c r="M63" s="52"/>
      <c r="N63" s="52"/>
      <c r="O63" s="5"/>
      <c r="V63" s="10"/>
      <c r="W63" s="10"/>
    </row>
    <row r="64" spans="1:23" ht="30" customHeight="1" x14ac:dyDescent="0.35">
      <c r="A64" s="409">
        <v>11110</v>
      </c>
      <c r="B64" s="1251" t="s">
        <v>2652</v>
      </c>
      <c r="C64" s="1251"/>
      <c r="D64" s="1251"/>
      <c r="E64" s="411">
        <v>8.31</v>
      </c>
      <c r="F64" s="407" t="s">
        <v>108</v>
      </c>
      <c r="G64" s="278">
        <f>9*0.06</f>
        <v>0.54</v>
      </c>
      <c r="H64" s="278" t="s">
        <v>2654</v>
      </c>
      <c r="I64" s="1217">
        <f>+I59</f>
        <v>0.95834826759383673</v>
      </c>
      <c r="J64" s="1218"/>
      <c r="K64" s="425">
        <f>+E64*G64*I64</f>
        <v>4.3004920160005842</v>
      </c>
      <c r="L64" s="395" t="s">
        <v>4</v>
      </c>
      <c r="M64" s="52"/>
      <c r="N64" s="52"/>
      <c r="O64" s="5"/>
      <c r="V64" s="10"/>
      <c r="W64" s="10"/>
    </row>
    <row r="65" spans="1:23" ht="30" customHeight="1" x14ac:dyDescent="0.35">
      <c r="A65" s="278"/>
      <c r="B65" s="270"/>
      <c r="C65" s="270"/>
      <c r="D65" s="270"/>
      <c r="E65" s="270"/>
      <c r="F65" s="420"/>
      <c r="G65" s="425"/>
      <c r="H65" s="425"/>
      <c r="I65" s="425"/>
      <c r="J65" s="426" t="s">
        <v>223</v>
      </c>
      <c r="K65" s="425">
        <f>SUM(K59:K64)</f>
        <v>115.73934172974197</v>
      </c>
      <c r="L65" s="395" t="s">
        <v>4</v>
      </c>
      <c r="M65" s="50"/>
      <c r="N65" s="50"/>
      <c r="O65" s="5"/>
      <c r="V65" s="10"/>
      <c r="W65" s="10"/>
    </row>
    <row r="66" spans="1:23" ht="30" customHeight="1" thickBot="1" x14ac:dyDescent="0.4">
      <c r="A66" s="1323"/>
      <c r="B66" s="1324"/>
      <c r="C66" s="1324"/>
      <c r="D66" s="1325"/>
      <c r="E66" s="436"/>
      <c r="F66" s="428"/>
      <c r="G66" s="429"/>
      <c r="H66" s="429"/>
      <c r="I66" s="429"/>
      <c r="J66" s="430" t="s">
        <v>37</v>
      </c>
      <c r="K66" s="429">
        <f>+K65</f>
        <v>115.73934172974197</v>
      </c>
      <c r="L66" s="431" t="s">
        <v>4</v>
      </c>
      <c r="M66" s="50"/>
      <c r="N66" s="50"/>
      <c r="O66" s="5"/>
      <c r="V66" s="10"/>
      <c r="W66" s="10"/>
    </row>
    <row r="67" spans="1:23" ht="30" customHeight="1" thickBot="1" x14ac:dyDescent="0.4">
      <c r="A67" s="1381"/>
      <c r="B67" s="1382"/>
      <c r="C67" s="1382"/>
      <c r="D67" s="1382"/>
      <c r="E67" s="1382"/>
      <c r="F67" s="1382"/>
      <c r="G67" s="1382"/>
      <c r="H67" s="1382"/>
      <c r="I67" s="1382"/>
      <c r="J67" s="1382"/>
      <c r="K67" s="1382"/>
      <c r="L67" s="1383"/>
      <c r="M67" s="50"/>
      <c r="N67" s="50"/>
      <c r="T67" s="10"/>
      <c r="U67" s="10"/>
    </row>
    <row r="68" spans="1:23" s="396" customFormat="1" ht="30" customHeight="1" x14ac:dyDescent="0.35">
      <c r="A68" s="388" t="s">
        <v>1</v>
      </c>
      <c r="B68" s="439">
        <v>1121</v>
      </c>
      <c r="C68" s="1384" t="s">
        <v>49</v>
      </c>
      <c r="D68" s="1385"/>
      <c r="E68" s="390" t="s">
        <v>38</v>
      </c>
      <c r="F68" s="391">
        <v>30718.355115694099</v>
      </c>
      <c r="G68" s="392" t="s">
        <v>3</v>
      </c>
      <c r="H68" s="393" t="s">
        <v>4</v>
      </c>
      <c r="I68" s="392" t="s">
        <v>5</v>
      </c>
      <c r="J68" s="1304" t="s">
        <v>2873</v>
      </c>
      <c r="K68" s="1305"/>
      <c r="L68" s="1306"/>
      <c r="M68" s="123"/>
      <c r="N68" s="51"/>
      <c r="P68" s="384"/>
      <c r="Q68" s="9"/>
      <c r="R68" s="9"/>
      <c r="S68" s="9"/>
      <c r="T68" s="9"/>
      <c r="U68" s="9"/>
      <c r="V68" s="9"/>
    </row>
    <row r="69" spans="1:23" ht="30" customHeight="1" x14ac:dyDescent="0.35">
      <c r="A69" s="185" t="s">
        <v>177</v>
      </c>
      <c r="B69" s="1272" t="s">
        <v>7</v>
      </c>
      <c r="C69" s="1272"/>
      <c r="D69" s="1272"/>
      <c r="E69" s="397" t="s">
        <v>52</v>
      </c>
      <c r="F69" s="397" t="s">
        <v>53</v>
      </c>
      <c r="G69" s="1225" t="s">
        <v>54</v>
      </c>
      <c r="H69" s="1226"/>
      <c r="I69" s="1221" t="s">
        <v>179</v>
      </c>
      <c r="J69" s="1222"/>
      <c r="K69" s="1209" t="s">
        <v>180</v>
      </c>
      <c r="L69" s="1210"/>
      <c r="M69" s="50"/>
      <c r="N69" s="50"/>
      <c r="O69" s="5"/>
      <c r="P69" s="9"/>
      <c r="Q69" s="34"/>
      <c r="R69" s="5"/>
      <c r="S69" s="35"/>
    </row>
    <row r="70" spans="1:23" ht="30" customHeight="1" x14ac:dyDescent="0.35">
      <c r="A70" s="401">
        <v>11110</v>
      </c>
      <c r="B70" s="1265" t="s">
        <v>2649</v>
      </c>
      <c r="C70" s="1265"/>
      <c r="D70" s="1265"/>
      <c r="E70" s="402">
        <v>156.19</v>
      </c>
      <c r="F70" s="191" t="s">
        <v>4</v>
      </c>
      <c r="G70" s="403"/>
      <c r="H70" s="404"/>
      <c r="I70" s="1217">
        <f>+'FY2024 MILCON Inflation Table'!F23</f>
        <v>0.93863689284411045</v>
      </c>
      <c r="J70" s="1218"/>
      <c r="K70" s="189">
        <f>+E70*I70</f>
        <v>146.60569629332161</v>
      </c>
      <c r="L70" s="395" t="s">
        <v>4</v>
      </c>
      <c r="M70" s="95"/>
      <c r="N70" s="95"/>
    </row>
    <row r="71" spans="1:23" ht="30" customHeight="1" x14ac:dyDescent="0.35">
      <c r="A71" s="401">
        <v>11110</v>
      </c>
      <c r="B71" s="1265" t="s">
        <v>2650</v>
      </c>
      <c r="C71" s="1265"/>
      <c r="D71" s="1265"/>
      <c r="E71" s="402">
        <v>135.36000000000001</v>
      </c>
      <c r="F71" s="407" t="s">
        <v>4</v>
      </c>
      <c r="G71" s="408"/>
      <c r="H71" s="408"/>
      <c r="I71" s="1217">
        <f>+I70</f>
        <v>0.93863689284411045</v>
      </c>
      <c r="J71" s="1218"/>
      <c r="K71" s="189">
        <f>+E71*I71</f>
        <v>127.05388981537881</v>
      </c>
      <c r="L71" s="395" t="s">
        <v>4</v>
      </c>
      <c r="M71" s="52"/>
      <c r="N71" s="52"/>
      <c r="O71" s="5"/>
      <c r="V71" s="10"/>
      <c r="W71" s="10"/>
    </row>
    <row r="72" spans="1:23" ht="30" customHeight="1" x14ac:dyDescent="0.35">
      <c r="A72" s="407"/>
      <c r="E72" s="419"/>
      <c r="F72" s="420"/>
      <c r="G72" s="421"/>
      <c r="H72" s="421"/>
      <c r="I72" s="421"/>
      <c r="J72" s="421" t="s">
        <v>192</v>
      </c>
      <c r="K72" s="315">
        <f>AVERAGE(K70:K71)</f>
        <v>136.8297930543502</v>
      </c>
      <c r="L72" s="395" t="s">
        <v>4</v>
      </c>
      <c r="M72" s="52"/>
      <c r="N72" s="52"/>
      <c r="O72" s="5"/>
      <c r="V72" s="10"/>
      <c r="W72" s="10"/>
    </row>
    <row r="73" spans="1:23" ht="30" customHeight="1" x14ac:dyDescent="0.35">
      <c r="A73" s="420">
        <v>93410</v>
      </c>
      <c r="B73" s="1265" t="s">
        <v>2660</v>
      </c>
      <c r="C73" s="1265"/>
      <c r="D73" s="1265"/>
      <c r="E73" s="402">
        <v>18.100000000000001</v>
      </c>
      <c r="F73" s="420" t="s">
        <v>16</v>
      </c>
      <c r="G73" s="421">
        <v>0.33329999999999999</v>
      </c>
      <c r="H73" s="422" t="s">
        <v>1827</v>
      </c>
      <c r="I73" s="1217">
        <f>+I70</f>
        <v>0.93863689284411045</v>
      </c>
      <c r="J73" s="1218"/>
      <c r="K73" s="315">
        <f>+E73*G73*I73</f>
        <v>5.6625429425674501</v>
      </c>
      <c r="L73" s="395" t="s">
        <v>4</v>
      </c>
      <c r="M73" s="52"/>
      <c r="N73" s="52"/>
      <c r="O73" s="5"/>
      <c r="V73" s="10"/>
      <c r="W73" s="10"/>
    </row>
    <row r="74" spans="1:23" ht="30" customHeight="1" x14ac:dyDescent="0.35">
      <c r="A74" s="420">
        <v>93410</v>
      </c>
      <c r="B74" s="1265" t="s">
        <v>2659</v>
      </c>
      <c r="C74" s="1265"/>
      <c r="D74" s="1265"/>
      <c r="E74" s="402">
        <v>32.81</v>
      </c>
      <c r="F74" s="420" t="s">
        <v>16</v>
      </c>
      <c r="G74" s="421">
        <v>0.33329999999999999</v>
      </c>
      <c r="H74" s="422" t="s">
        <v>1827</v>
      </c>
      <c r="I74" s="1217">
        <f>+I70</f>
        <v>0.93863689284411045</v>
      </c>
      <c r="J74" s="1218"/>
      <c r="K74" s="315">
        <f>+E74*G74*I74</f>
        <v>10.264532262189947</v>
      </c>
      <c r="L74" s="395" t="s">
        <v>4</v>
      </c>
      <c r="M74" s="52"/>
      <c r="N74" s="52"/>
      <c r="O74" s="5"/>
      <c r="V74" s="10"/>
      <c r="W74" s="10"/>
    </row>
    <row r="75" spans="1:23" ht="30" customHeight="1" x14ac:dyDescent="0.35">
      <c r="A75" s="420">
        <v>93210</v>
      </c>
      <c r="B75" s="1265" t="s">
        <v>2661</v>
      </c>
      <c r="C75" s="1265"/>
      <c r="D75" s="1265"/>
      <c r="E75" s="411">
        <v>4.42</v>
      </c>
      <c r="F75" s="420" t="s">
        <v>4</v>
      </c>
      <c r="G75" s="421"/>
      <c r="H75" s="422"/>
      <c r="I75" s="1252">
        <f>+I70</f>
        <v>0.93863689284411045</v>
      </c>
      <c r="J75" s="1253"/>
      <c r="K75" s="189">
        <f>+E75*I75</f>
        <v>4.1487750663709679</v>
      </c>
      <c r="L75" s="395" t="s">
        <v>4</v>
      </c>
      <c r="M75" s="52"/>
      <c r="N75" s="52"/>
      <c r="O75" s="5"/>
      <c r="V75" s="10"/>
      <c r="W75" s="10"/>
    </row>
    <row r="76" spans="1:23" ht="30" customHeight="1" x14ac:dyDescent="0.35">
      <c r="A76" s="401">
        <v>11110</v>
      </c>
      <c r="B76" s="1265" t="s">
        <v>2652</v>
      </c>
      <c r="C76" s="1265"/>
      <c r="D76" s="1265"/>
      <c r="E76" s="402">
        <v>8.1999999999999993</v>
      </c>
      <c r="F76" s="407" t="s">
        <v>108</v>
      </c>
      <c r="G76" s="278">
        <f>9*0.06</f>
        <v>0.54</v>
      </c>
      <c r="H76" s="280" t="s">
        <v>2654</v>
      </c>
      <c r="I76" s="1217">
        <f>+I70</f>
        <v>0.93863689284411045</v>
      </c>
      <c r="J76" s="1218"/>
      <c r="K76" s="425">
        <f>+E76*G76*I76</f>
        <v>4.1562841615137209</v>
      </c>
      <c r="L76" s="395" t="s">
        <v>4</v>
      </c>
      <c r="M76" s="52"/>
      <c r="N76" s="52"/>
      <c r="O76" s="5"/>
      <c r="V76" s="10"/>
      <c r="W76" s="10"/>
    </row>
    <row r="77" spans="1:23" ht="30" customHeight="1" x14ac:dyDescent="0.35">
      <c r="A77" s="1392"/>
      <c r="B77" s="1393"/>
      <c r="C77" s="1393"/>
      <c r="D77" s="1393"/>
      <c r="E77" s="270"/>
      <c r="F77" s="420"/>
      <c r="G77" s="425"/>
      <c r="H77" s="425"/>
      <c r="I77" s="425"/>
      <c r="J77" s="426" t="s">
        <v>223</v>
      </c>
      <c r="K77" s="425">
        <f>SUM(K72:K76)</f>
        <v>161.06192748699232</v>
      </c>
      <c r="L77" s="395" t="s">
        <v>4</v>
      </c>
      <c r="M77" s="50"/>
      <c r="N77" s="50"/>
      <c r="O77" s="5"/>
      <c r="V77" s="10"/>
      <c r="W77" s="10"/>
    </row>
    <row r="78" spans="1:23" ht="30" customHeight="1" thickBot="1" x14ac:dyDescent="0.4">
      <c r="A78" s="1394"/>
      <c r="B78" s="1395"/>
      <c r="C78" s="1395"/>
      <c r="D78" s="1395"/>
      <c r="E78" s="427"/>
      <c r="F78" s="428"/>
      <c r="G78" s="429"/>
      <c r="H78" s="429"/>
      <c r="I78" s="429"/>
      <c r="J78" s="430" t="s">
        <v>37</v>
      </c>
      <c r="K78" s="429">
        <f>+K77</f>
        <v>161.06192748699232</v>
      </c>
      <c r="L78" s="431" t="s">
        <v>4</v>
      </c>
      <c r="M78" s="50"/>
      <c r="N78" s="50"/>
      <c r="O78" s="5"/>
      <c r="V78" s="10"/>
      <c r="W78" s="10"/>
    </row>
    <row r="79" spans="1:23" ht="30" customHeight="1" thickBot="1" x14ac:dyDescent="0.4">
      <c r="A79" s="1381"/>
      <c r="B79" s="1382"/>
      <c r="C79" s="1382"/>
      <c r="D79" s="1382"/>
      <c r="E79" s="1382"/>
      <c r="F79" s="1382"/>
      <c r="G79" s="1382"/>
      <c r="H79" s="1382"/>
      <c r="I79" s="1382"/>
      <c r="J79" s="1382"/>
      <c r="K79" s="1382"/>
      <c r="L79" s="1383"/>
      <c r="M79" s="50"/>
      <c r="N79" s="50"/>
      <c r="T79" s="10"/>
      <c r="U79" s="10"/>
    </row>
    <row r="80" spans="1:23" ht="30" customHeight="1" x14ac:dyDescent="0.35">
      <c r="A80" s="442" t="s">
        <v>1</v>
      </c>
      <c r="B80" s="442">
        <v>1122</v>
      </c>
      <c r="C80" s="1398" t="s">
        <v>51</v>
      </c>
      <c r="D80" s="1398"/>
      <c r="E80" s="443" t="s">
        <v>3</v>
      </c>
      <c r="F80" s="444" t="s">
        <v>4</v>
      </c>
      <c r="G80" s="390" t="s">
        <v>38</v>
      </c>
      <c r="H80" s="391">
        <v>14641.837305699401</v>
      </c>
      <c r="I80" s="443" t="s">
        <v>5</v>
      </c>
      <c r="J80" s="1466" t="s">
        <v>2820</v>
      </c>
      <c r="K80" s="1216"/>
      <c r="L80" s="1216"/>
      <c r="M80" s="97"/>
      <c r="N80" s="97"/>
      <c r="T80" s="10"/>
      <c r="U80" s="10"/>
    </row>
    <row r="81" spans="1:23" ht="30" customHeight="1" x14ac:dyDescent="0.35">
      <c r="A81" s="446"/>
      <c r="B81" s="1248" t="s">
        <v>7</v>
      </c>
      <c r="C81" s="1248"/>
      <c r="D81" s="1248"/>
      <c r="E81" s="446" t="s">
        <v>52</v>
      </c>
      <c r="F81" s="446" t="s">
        <v>53</v>
      </c>
      <c r="G81" s="1294" t="s">
        <v>54</v>
      </c>
      <c r="H81" s="1294"/>
      <c r="I81" s="446" t="s">
        <v>55</v>
      </c>
      <c r="J81" s="446" t="s">
        <v>56</v>
      </c>
      <c r="K81" s="1294" t="s">
        <v>37</v>
      </c>
      <c r="L81" s="1294"/>
      <c r="T81" s="10"/>
      <c r="U81" s="10"/>
    </row>
    <row r="82" spans="1:23" ht="30" customHeight="1" thickBot="1" x14ac:dyDescent="0.4">
      <c r="A82" s="428"/>
      <c r="B82" s="1718" t="s">
        <v>57</v>
      </c>
      <c r="C82" s="1718"/>
      <c r="D82" s="1718"/>
      <c r="E82" s="449">
        <f>+K78</f>
        <v>161.06192748699232</v>
      </c>
      <c r="F82" s="450" t="s">
        <v>4</v>
      </c>
      <c r="G82" s="1701"/>
      <c r="H82" s="1701"/>
      <c r="I82" s="450"/>
      <c r="J82" s="451"/>
      <c r="K82" s="452">
        <f>E82</f>
        <v>161.06192748699232</v>
      </c>
      <c r="L82" s="450" t="s">
        <v>4</v>
      </c>
      <c r="M82" s="50"/>
      <c r="N82" s="50"/>
      <c r="T82" s="10"/>
      <c r="U82" s="10"/>
    </row>
    <row r="83" spans="1:23" ht="30" customHeight="1" thickBot="1" x14ac:dyDescent="0.4">
      <c r="A83" s="1199"/>
      <c r="B83" s="1200"/>
      <c r="C83" s="1200"/>
      <c r="D83" s="1200"/>
      <c r="E83" s="1200"/>
      <c r="F83" s="1200"/>
      <c r="G83" s="1200"/>
      <c r="H83" s="1200"/>
      <c r="I83" s="1200"/>
      <c r="J83" s="1200"/>
      <c r="K83" s="1200"/>
      <c r="L83" s="1201"/>
      <c r="M83" s="50"/>
      <c r="N83" s="50"/>
      <c r="T83" s="53"/>
      <c r="U83" s="53"/>
    </row>
    <row r="84" spans="1:23" s="396" customFormat="1" ht="30" customHeight="1" x14ac:dyDescent="0.35">
      <c r="A84" s="388" t="s">
        <v>1</v>
      </c>
      <c r="B84" s="389">
        <v>1131</v>
      </c>
      <c r="C84" s="1205" t="s">
        <v>58</v>
      </c>
      <c r="D84" s="1206"/>
      <c r="E84" s="390" t="s">
        <v>38</v>
      </c>
      <c r="F84" s="391">
        <v>31262.863621140699</v>
      </c>
      <c r="G84" s="392" t="s">
        <v>3</v>
      </c>
      <c r="H84" s="393" t="s">
        <v>4</v>
      </c>
      <c r="I84" s="392" t="s">
        <v>5</v>
      </c>
      <c r="J84" s="1304" t="s">
        <v>2873</v>
      </c>
      <c r="K84" s="1305"/>
      <c r="L84" s="1306"/>
      <c r="M84" s="123"/>
      <c r="N84" s="51"/>
      <c r="P84" s="384"/>
      <c r="Q84" s="9"/>
      <c r="R84" s="9"/>
      <c r="S84" s="9"/>
      <c r="T84" s="9"/>
      <c r="U84" s="9"/>
      <c r="V84" s="9"/>
    </row>
    <row r="85" spans="1:23" ht="30" customHeight="1" x14ac:dyDescent="0.35">
      <c r="A85" s="185" t="s">
        <v>177</v>
      </c>
      <c r="B85" s="1272" t="s">
        <v>7</v>
      </c>
      <c r="C85" s="1272"/>
      <c r="D85" s="1272"/>
      <c r="E85" s="397" t="s">
        <v>52</v>
      </c>
      <c r="F85" s="397" t="s">
        <v>53</v>
      </c>
      <c r="G85" s="1225" t="s">
        <v>54</v>
      </c>
      <c r="H85" s="1226"/>
      <c r="I85" s="1221" t="s">
        <v>179</v>
      </c>
      <c r="J85" s="1222"/>
      <c r="K85" s="1209" t="s">
        <v>180</v>
      </c>
      <c r="L85" s="1210"/>
      <c r="M85" s="50"/>
      <c r="N85" s="50"/>
      <c r="O85" s="5"/>
      <c r="P85" s="9"/>
      <c r="Q85" s="34"/>
      <c r="R85" s="5"/>
      <c r="S85" s="35"/>
    </row>
    <row r="86" spans="1:23" ht="30" customHeight="1" x14ac:dyDescent="0.35">
      <c r="A86" s="401">
        <v>11110</v>
      </c>
      <c r="B86" s="1265" t="s">
        <v>2669</v>
      </c>
      <c r="C86" s="1265"/>
      <c r="D86" s="1265"/>
      <c r="E86" s="402">
        <v>168.82</v>
      </c>
      <c r="F86" s="191" t="s">
        <v>4</v>
      </c>
      <c r="G86" s="403"/>
      <c r="H86" s="404"/>
      <c r="I86" s="1217">
        <f>+'FY2024 MILCON Inflation Table'!F23</f>
        <v>0.93863689284411045</v>
      </c>
      <c r="J86" s="1218"/>
      <c r="K86" s="189">
        <f>+E86*I86</f>
        <v>158.46068024994273</v>
      </c>
      <c r="L86" s="395" t="s">
        <v>4</v>
      </c>
      <c r="M86" s="95"/>
      <c r="N86" s="95"/>
    </row>
    <row r="87" spans="1:23" ht="30" customHeight="1" x14ac:dyDescent="0.35">
      <c r="A87" s="401">
        <v>11110</v>
      </c>
      <c r="B87" s="1265" t="s">
        <v>2670</v>
      </c>
      <c r="C87" s="1265"/>
      <c r="D87" s="1265"/>
      <c r="E87" s="402">
        <v>201.34</v>
      </c>
      <c r="F87" s="407" t="s">
        <v>4</v>
      </c>
      <c r="G87" s="408"/>
      <c r="H87" s="408"/>
      <c r="I87" s="1217">
        <f>+I86</f>
        <v>0.93863689284411045</v>
      </c>
      <c r="J87" s="1218"/>
      <c r="K87" s="189">
        <f>+E87*I87</f>
        <v>188.9851520052332</v>
      </c>
      <c r="L87" s="395" t="s">
        <v>4</v>
      </c>
      <c r="M87" s="52"/>
      <c r="N87" s="52"/>
      <c r="O87" s="5"/>
      <c r="V87" s="10"/>
      <c r="W87" s="10"/>
    </row>
    <row r="88" spans="1:23" ht="30" customHeight="1" x14ac:dyDescent="0.35">
      <c r="A88" s="407"/>
      <c r="E88" s="419"/>
      <c r="F88" s="420"/>
      <c r="G88" s="421"/>
      <c r="H88" s="421"/>
      <c r="I88" s="421"/>
      <c r="J88" s="421" t="s">
        <v>192</v>
      </c>
      <c r="K88" s="315">
        <f>AVERAGE(K86:K87)</f>
        <v>173.72291612758795</v>
      </c>
      <c r="L88" s="395" t="s">
        <v>4</v>
      </c>
      <c r="M88" s="52"/>
      <c r="N88" s="52"/>
      <c r="O88" s="5"/>
      <c r="V88" s="10"/>
      <c r="W88" s="10"/>
    </row>
    <row r="89" spans="1:23" ht="30" customHeight="1" x14ac:dyDescent="0.35">
      <c r="A89" s="420">
        <v>93410</v>
      </c>
      <c r="B89" s="1265" t="s">
        <v>2660</v>
      </c>
      <c r="C89" s="1265"/>
      <c r="D89" s="1265"/>
      <c r="E89" s="402">
        <v>18.100000000000001</v>
      </c>
      <c r="F89" s="420" t="s">
        <v>16</v>
      </c>
      <c r="G89" s="421">
        <v>0.33329999999999999</v>
      </c>
      <c r="H89" s="422" t="s">
        <v>1827</v>
      </c>
      <c r="I89" s="1217">
        <f>+I86</f>
        <v>0.93863689284411045</v>
      </c>
      <c r="J89" s="1218"/>
      <c r="K89" s="315">
        <f>+E89*G89*I89</f>
        <v>5.6625429425674501</v>
      </c>
      <c r="L89" s="395" t="s">
        <v>4</v>
      </c>
      <c r="M89" s="52"/>
      <c r="N89" s="52"/>
      <c r="O89" s="5"/>
      <c r="V89" s="10"/>
      <c r="W89" s="10"/>
    </row>
    <row r="90" spans="1:23" ht="30" customHeight="1" x14ac:dyDescent="0.35">
      <c r="A90" s="420">
        <v>93410</v>
      </c>
      <c r="B90" s="1265" t="s">
        <v>2659</v>
      </c>
      <c r="C90" s="1265"/>
      <c r="D90" s="1265"/>
      <c r="E90" s="402">
        <v>32.81</v>
      </c>
      <c r="F90" s="420" t="s">
        <v>16</v>
      </c>
      <c r="G90" s="421">
        <v>0.33329999999999999</v>
      </c>
      <c r="H90" s="422" t="s">
        <v>1827</v>
      </c>
      <c r="I90" s="1217">
        <f>+I86</f>
        <v>0.93863689284411045</v>
      </c>
      <c r="J90" s="1218"/>
      <c r="K90" s="315">
        <f>+E90*G90*I90</f>
        <v>10.264532262189947</v>
      </c>
      <c r="L90" s="395" t="s">
        <v>4</v>
      </c>
      <c r="M90" s="52"/>
      <c r="N90" s="52"/>
      <c r="O90" s="5"/>
      <c r="V90" s="10"/>
      <c r="W90" s="10"/>
    </row>
    <row r="91" spans="1:23" ht="30" customHeight="1" x14ac:dyDescent="0.35">
      <c r="A91" s="420">
        <v>93210</v>
      </c>
      <c r="B91" s="1265" t="s">
        <v>2661</v>
      </c>
      <c r="C91" s="1265"/>
      <c r="D91" s="1265"/>
      <c r="E91" s="411">
        <v>4.42</v>
      </c>
      <c r="F91" s="420" t="s">
        <v>4</v>
      </c>
      <c r="G91" s="421"/>
      <c r="H91" s="422"/>
      <c r="I91" s="1252">
        <f>+I86</f>
        <v>0.93863689284411045</v>
      </c>
      <c r="J91" s="1253"/>
      <c r="K91" s="189">
        <f>+E91*I91</f>
        <v>4.1487750663709679</v>
      </c>
      <c r="L91" s="395" t="s">
        <v>4</v>
      </c>
      <c r="M91" s="52"/>
      <c r="N91" s="52"/>
      <c r="O91" s="5"/>
      <c r="V91" s="10"/>
      <c r="W91" s="10"/>
    </row>
    <row r="92" spans="1:23" ht="30" customHeight="1" x14ac:dyDescent="0.35">
      <c r="A92" s="1392"/>
      <c r="B92" s="1393"/>
      <c r="C92" s="1393"/>
      <c r="D92" s="1393"/>
      <c r="E92" s="270"/>
      <c r="F92" s="420"/>
      <c r="G92" s="425"/>
      <c r="H92" s="425"/>
      <c r="I92" s="425"/>
      <c r="J92" s="426" t="s">
        <v>223</v>
      </c>
      <c r="K92" s="425">
        <f>SUM(K88:K91)</f>
        <v>193.79876639871634</v>
      </c>
      <c r="L92" s="395" t="s">
        <v>4</v>
      </c>
      <c r="M92" s="50"/>
      <c r="N92" s="50"/>
      <c r="O92" s="5"/>
      <c r="V92" s="10"/>
      <c r="W92" s="10"/>
    </row>
    <row r="93" spans="1:23" ht="30" customHeight="1" thickBot="1" x14ac:dyDescent="0.4">
      <c r="A93" s="1394"/>
      <c r="B93" s="1395"/>
      <c r="C93" s="1395"/>
      <c r="D93" s="1395"/>
      <c r="E93" s="427"/>
      <c r="F93" s="428"/>
      <c r="G93" s="429"/>
      <c r="H93" s="429"/>
      <c r="I93" s="429"/>
      <c r="J93" s="430" t="s">
        <v>37</v>
      </c>
      <c r="K93" s="429">
        <f>+K92</f>
        <v>193.79876639871634</v>
      </c>
      <c r="L93" s="431" t="s">
        <v>4</v>
      </c>
      <c r="M93" s="50"/>
      <c r="N93" s="50"/>
      <c r="O93" s="5"/>
      <c r="V93" s="10"/>
      <c r="W93" s="10"/>
    </row>
    <row r="94" spans="1:23" ht="30" customHeight="1" thickBot="1" x14ac:dyDescent="0.4">
      <c r="A94" s="1381"/>
      <c r="B94" s="1382"/>
      <c r="C94" s="1382"/>
      <c r="D94" s="1382"/>
      <c r="E94" s="1382"/>
      <c r="F94" s="1382"/>
      <c r="G94" s="1382"/>
      <c r="H94" s="1382"/>
      <c r="I94" s="1382"/>
      <c r="J94" s="1382"/>
      <c r="K94" s="1382"/>
      <c r="L94" s="1383"/>
      <c r="M94" s="50"/>
      <c r="N94" s="50"/>
      <c r="T94" s="10"/>
      <c r="U94" s="10"/>
    </row>
    <row r="95" spans="1:23" ht="30" customHeight="1" x14ac:dyDescent="0.35">
      <c r="A95" s="455" t="s">
        <v>1</v>
      </c>
      <c r="B95" s="439">
        <v>1161</v>
      </c>
      <c r="C95" s="1396" t="s">
        <v>59</v>
      </c>
      <c r="D95" s="1397"/>
      <c r="E95" s="456" t="s">
        <v>3</v>
      </c>
      <c r="F95" s="457" t="s">
        <v>4</v>
      </c>
      <c r="G95" s="390" t="s">
        <v>38</v>
      </c>
      <c r="H95" s="47">
        <v>1874.2209774436001</v>
      </c>
      <c r="I95" s="456" t="s">
        <v>5</v>
      </c>
      <c r="J95" s="1411" t="s">
        <v>2821</v>
      </c>
      <c r="K95" s="1751"/>
      <c r="L95" s="1445"/>
      <c r="M95" s="96"/>
      <c r="N95" s="50"/>
      <c r="T95" s="10"/>
      <c r="U95" s="10"/>
    </row>
    <row r="96" spans="1:23" ht="30" customHeight="1" x14ac:dyDescent="0.35">
      <c r="A96" s="185"/>
      <c r="B96" s="1334" t="s">
        <v>7</v>
      </c>
      <c r="C96" s="1335"/>
      <c r="D96" s="1336"/>
      <c r="E96" s="185" t="s">
        <v>52</v>
      </c>
      <c r="F96" s="185" t="s">
        <v>53</v>
      </c>
      <c r="G96" s="1219" t="s">
        <v>54</v>
      </c>
      <c r="H96" s="1220"/>
      <c r="I96" s="185" t="s">
        <v>55</v>
      </c>
      <c r="J96" s="185" t="s">
        <v>56</v>
      </c>
      <c r="K96" s="1209" t="s">
        <v>37</v>
      </c>
      <c r="L96" s="1210"/>
      <c r="N96" s="97"/>
      <c r="O96" s="5"/>
      <c r="V96" s="10"/>
      <c r="W96" s="10"/>
    </row>
    <row r="97" spans="1:23" ht="30" customHeight="1" thickBot="1" x14ac:dyDescent="0.4">
      <c r="A97" s="461"/>
      <c r="B97" s="1446" t="s">
        <v>58</v>
      </c>
      <c r="C97" s="1446"/>
      <c r="D97" s="1446"/>
      <c r="E97" s="462">
        <f>+K93</f>
        <v>193.79876639871634</v>
      </c>
      <c r="F97" s="463" t="s">
        <v>4</v>
      </c>
      <c r="G97" s="1516"/>
      <c r="H97" s="1517"/>
      <c r="I97" s="463"/>
      <c r="J97" s="464"/>
      <c r="K97" s="465">
        <f>E97</f>
        <v>193.79876639871634</v>
      </c>
      <c r="L97" s="463" t="s">
        <v>4</v>
      </c>
      <c r="M97" s="50"/>
      <c r="O97" s="5"/>
      <c r="V97" s="10"/>
      <c r="W97" s="10"/>
    </row>
    <row r="98" spans="1:23" ht="30" customHeight="1" thickBot="1" x14ac:dyDescent="0.4">
      <c r="A98" s="1719"/>
      <c r="B98" s="1720"/>
      <c r="C98" s="1720"/>
      <c r="D98" s="1720"/>
      <c r="E98" s="1720"/>
      <c r="F98" s="1720"/>
      <c r="G98" s="1720"/>
      <c r="H98" s="1720"/>
      <c r="I98" s="1720"/>
      <c r="J98" s="1720"/>
      <c r="K98" s="1720"/>
      <c r="L98" s="1721"/>
      <c r="M98" s="96"/>
      <c r="N98" s="50"/>
      <c r="T98" s="10"/>
      <c r="U98" s="10"/>
    </row>
    <row r="99" spans="1:23" s="396" customFormat="1" ht="30" customHeight="1" x14ac:dyDescent="0.35">
      <c r="A99" s="388" t="s">
        <v>1</v>
      </c>
      <c r="B99" s="439">
        <v>1162</v>
      </c>
      <c r="C99" s="1384" t="s">
        <v>60</v>
      </c>
      <c r="D99" s="1385"/>
      <c r="E99" s="392" t="s">
        <v>3</v>
      </c>
      <c r="F99" s="393" t="s">
        <v>4</v>
      </c>
      <c r="G99" s="390" t="s">
        <v>38</v>
      </c>
      <c r="H99" s="391">
        <v>2166.3000000000002</v>
      </c>
      <c r="I99" s="392" t="s">
        <v>5</v>
      </c>
      <c r="J99" s="1304" t="s">
        <v>2538</v>
      </c>
      <c r="K99" s="1305"/>
      <c r="L99" s="1306"/>
      <c r="M99" s="123"/>
      <c r="N99" s="466"/>
      <c r="P99" s="384"/>
      <c r="Q99" s="9"/>
      <c r="R99" s="9"/>
      <c r="S99" s="9"/>
      <c r="T99" s="9"/>
      <c r="U99" s="9"/>
      <c r="V99" s="9"/>
    </row>
    <row r="100" spans="1:23" ht="30" customHeight="1" x14ac:dyDescent="0.35">
      <c r="A100" s="185" t="s">
        <v>177</v>
      </c>
      <c r="B100" s="1272" t="s">
        <v>7</v>
      </c>
      <c r="C100" s="1272"/>
      <c r="D100" s="1272"/>
      <c r="E100" s="397" t="s">
        <v>52</v>
      </c>
      <c r="F100" s="397" t="s">
        <v>53</v>
      </c>
      <c r="G100" s="1225" t="s">
        <v>54</v>
      </c>
      <c r="H100" s="1226"/>
      <c r="I100" s="1221" t="s">
        <v>179</v>
      </c>
      <c r="J100" s="1222"/>
      <c r="K100" s="1209" t="s">
        <v>180</v>
      </c>
      <c r="L100" s="1210"/>
      <c r="M100" s="50"/>
      <c r="N100" s="50"/>
      <c r="O100" s="5"/>
      <c r="P100" s="9"/>
      <c r="Q100" s="34"/>
      <c r="R100" s="5"/>
      <c r="S100" s="35"/>
    </row>
    <row r="101" spans="1:23" ht="30" customHeight="1" x14ac:dyDescent="0.35">
      <c r="A101" s="401">
        <v>11110</v>
      </c>
      <c r="B101" s="1265" t="s">
        <v>2647</v>
      </c>
      <c r="C101" s="1265"/>
      <c r="D101" s="1265"/>
      <c r="E101" s="467">
        <v>197.3</v>
      </c>
      <c r="F101" s="191" t="s">
        <v>4</v>
      </c>
      <c r="G101" s="403"/>
      <c r="H101" s="404"/>
      <c r="I101" s="1217">
        <f>+'FY2024 MILCON Inflation Table'!F22</f>
        <v>0.95834826759383673</v>
      </c>
      <c r="J101" s="1218"/>
      <c r="K101" s="189">
        <f>+E101*I101</f>
        <v>189.082113196264</v>
      </c>
      <c r="L101" s="395" t="s">
        <v>4</v>
      </c>
      <c r="M101" s="95"/>
      <c r="N101" s="95"/>
    </row>
    <row r="102" spans="1:23" ht="30" customHeight="1" x14ac:dyDescent="0.35">
      <c r="A102" s="420">
        <v>93410</v>
      </c>
      <c r="B102" s="1265" t="s">
        <v>2660</v>
      </c>
      <c r="C102" s="1265"/>
      <c r="D102" s="1265"/>
      <c r="E102" s="402">
        <v>12.99</v>
      </c>
      <c r="F102" s="420" t="s">
        <v>16</v>
      </c>
      <c r="G102" s="421">
        <v>0.33329999999999999</v>
      </c>
      <c r="H102" s="422" t="s">
        <v>1827</v>
      </c>
      <c r="I102" s="1217">
        <f>+I101</f>
        <v>0.95834826759383673</v>
      </c>
      <c r="J102" s="1218"/>
      <c r="K102" s="315">
        <f>+E102*G102*I102</f>
        <v>4.1492330338814449</v>
      </c>
      <c r="L102" s="395" t="s">
        <v>4</v>
      </c>
      <c r="M102" s="52"/>
      <c r="N102" s="52"/>
      <c r="O102" s="5"/>
      <c r="V102" s="10"/>
      <c r="W102" s="10"/>
    </row>
    <row r="103" spans="1:23" ht="30" customHeight="1" x14ac:dyDescent="0.35">
      <c r="A103" s="420">
        <v>93410</v>
      </c>
      <c r="B103" s="1265" t="s">
        <v>2659</v>
      </c>
      <c r="C103" s="1265"/>
      <c r="D103" s="1265"/>
      <c r="E103" s="402">
        <v>20.86</v>
      </c>
      <c r="F103" s="420" t="s">
        <v>16</v>
      </c>
      <c r="G103" s="421">
        <v>0.33329999999999999</v>
      </c>
      <c r="H103" s="422" t="s">
        <v>1827</v>
      </c>
      <c r="I103" s="1217">
        <f>+I101</f>
        <v>0.95834826759383673</v>
      </c>
      <c r="J103" s="1218"/>
      <c r="K103" s="315">
        <f>+E103*G103*I103</f>
        <v>6.6630485825070771</v>
      </c>
      <c r="L103" s="395" t="s">
        <v>4</v>
      </c>
      <c r="M103" s="52"/>
      <c r="N103" s="52"/>
      <c r="O103" s="5"/>
      <c r="V103" s="10"/>
      <c r="W103" s="10"/>
    </row>
    <row r="104" spans="1:23" ht="30" customHeight="1" x14ac:dyDescent="0.35">
      <c r="A104" s="420">
        <v>93210</v>
      </c>
      <c r="B104" s="1265" t="s">
        <v>2661</v>
      </c>
      <c r="C104" s="1265"/>
      <c r="D104" s="1265"/>
      <c r="E104" s="423">
        <v>5.84</v>
      </c>
      <c r="F104" s="420" t="s">
        <v>4</v>
      </c>
      <c r="G104" s="421"/>
      <c r="H104" s="422"/>
      <c r="I104" s="1252">
        <f>+I102</f>
        <v>0.95834826759383673</v>
      </c>
      <c r="J104" s="1253"/>
      <c r="K104" s="189">
        <f>+E104*I104</f>
        <v>5.5967538827480068</v>
      </c>
      <c r="L104" s="395" t="s">
        <v>4</v>
      </c>
      <c r="M104" s="52"/>
      <c r="N104" s="52"/>
      <c r="O104" s="5"/>
      <c r="V104" s="10"/>
      <c r="W104" s="10"/>
    </row>
    <row r="105" spans="1:23" ht="30" customHeight="1" x14ac:dyDescent="0.35">
      <c r="A105" s="401">
        <v>11110</v>
      </c>
      <c r="B105" s="1265" t="s">
        <v>2651</v>
      </c>
      <c r="C105" s="1265"/>
      <c r="D105" s="1265"/>
      <c r="E105" s="402">
        <v>43.94</v>
      </c>
      <c r="F105" s="420" t="s">
        <v>4</v>
      </c>
      <c r="G105" s="278"/>
      <c r="H105" s="278"/>
      <c r="I105" s="1217">
        <f>+I104</f>
        <v>0.95834826759383673</v>
      </c>
      <c r="J105" s="1218"/>
      <c r="K105" s="189">
        <f>+E105*I105</f>
        <v>42.109822878073182</v>
      </c>
      <c r="L105" s="395" t="s">
        <v>4</v>
      </c>
      <c r="M105" s="52"/>
      <c r="N105" s="52"/>
      <c r="O105" s="5"/>
      <c r="V105" s="10"/>
      <c r="W105" s="10"/>
    </row>
    <row r="106" spans="1:23" ht="30" customHeight="1" x14ac:dyDescent="0.35">
      <c r="A106" s="1392"/>
      <c r="B106" s="1393"/>
      <c r="C106" s="1393"/>
      <c r="D106" s="1393"/>
      <c r="E106" s="270"/>
      <c r="F106" s="420"/>
      <c r="G106" s="425"/>
      <c r="H106" s="425"/>
      <c r="I106" s="425"/>
      <c r="J106" s="426" t="s">
        <v>223</v>
      </c>
      <c r="K106" s="425">
        <f>SUM(K101:K105)</f>
        <v>247.60097157347371</v>
      </c>
      <c r="L106" s="395" t="s">
        <v>4</v>
      </c>
      <c r="M106" s="50"/>
      <c r="N106" s="50"/>
      <c r="O106" s="5"/>
      <c r="V106" s="10"/>
      <c r="W106" s="10"/>
    </row>
    <row r="107" spans="1:23" ht="30" customHeight="1" thickBot="1" x14ac:dyDescent="0.4">
      <c r="A107" s="1394"/>
      <c r="B107" s="1395"/>
      <c r="C107" s="1395"/>
      <c r="D107" s="1395"/>
      <c r="E107" s="427"/>
      <c r="F107" s="428"/>
      <c r="G107" s="429"/>
      <c r="H107" s="429"/>
      <c r="I107" s="429"/>
      <c r="J107" s="430" t="s">
        <v>37</v>
      </c>
      <c r="K107" s="429">
        <f>+K106</f>
        <v>247.60097157347371</v>
      </c>
      <c r="L107" s="431" t="s">
        <v>4</v>
      </c>
      <c r="M107" s="50"/>
      <c r="N107" s="50"/>
      <c r="O107" s="5"/>
      <c r="V107" s="10"/>
      <c r="W107" s="10"/>
    </row>
    <row r="108" spans="1:23" ht="30" customHeight="1" thickBot="1" x14ac:dyDescent="0.4">
      <c r="A108" s="1381"/>
      <c r="B108" s="1382"/>
      <c r="C108" s="1382"/>
      <c r="D108" s="1382"/>
      <c r="E108" s="1382"/>
      <c r="F108" s="1382"/>
      <c r="G108" s="1382"/>
      <c r="H108" s="1382"/>
      <c r="I108" s="1382"/>
      <c r="J108" s="1382"/>
      <c r="K108" s="1382"/>
      <c r="L108" s="1383"/>
      <c r="M108" s="50"/>
      <c r="N108" s="50"/>
      <c r="T108" s="10"/>
      <c r="U108" s="10"/>
    </row>
    <row r="109" spans="1:23" ht="30" customHeight="1" x14ac:dyDescent="0.35">
      <c r="A109" s="455" t="s">
        <v>1</v>
      </c>
      <c r="B109" s="439">
        <v>1163</v>
      </c>
      <c r="C109" s="1396" t="s">
        <v>61</v>
      </c>
      <c r="D109" s="1397"/>
      <c r="E109" s="456" t="s">
        <v>3</v>
      </c>
      <c r="F109" s="457" t="s">
        <v>4</v>
      </c>
      <c r="G109" s="468" t="s">
        <v>38</v>
      </c>
      <c r="H109" s="47">
        <v>1911</v>
      </c>
      <c r="I109" s="456" t="s">
        <v>5</v>
      </c>
      <c r="J109" s="1411" t="s">
        <v>2821</v>
      </c>
      <c r="K109" s="1751"/>
      <c r="L109" s="1445"/>
      <c r="M109" s="97"/>
      <c r="N109" s="53"/>
    </row>
    <row r="110" spans="1:23" ht="30" customHeight="1" x14ac:dyDescent="0.35">
      <c r="A110" s="185"/>
      <c r="B110" s="1334" t="s">
        <v>7</v>
      </c>
      <c r="C110" s="1335"/>
      <c r="D110" s="1336"/>
      <c r="E110" s="185" t="s">
        <v>52</v>
      </c>
      <c r="F110" s="185" t="s">
        <v>53</v>
      </c>
      <c r="G110" s="1219" t="s">
        <v>54</v>
      </c>
      <c r="H110" s="1220"/>
      <c r="I110" s="185" t="s">
        <v>55</v>
      </c>
      <c r="J110" s="185" t="s">
        <v>56</v>
      </c>
      <c r="K110" s="1209" t="s">
        <v>37</v>
      </c>
      <c r="L110" s="1210"/>
      <c r="N110" s="316"/>
    </row>
    <row r="111" spans="1:23" ht="30" customHeight="1" thickBot="1" x14ac:dyDescent="0.4">
      <c r="A111" s="407"/>
      <c r="B111" s="1446" t="s">
        <v>58</v>
      </c>
      <c r="C111" s="1446"/>
      <c r="D111" s="1446"/>
      <c r="E111" s="469">
        <f>+K93</f>
        <v>193.79876639871634</v>
      </c>
      <c r="F111" s="188"/>
      <c r="G111" s="1332"/>
      <c r="H111" s="1333"/>
      <c r="I111" s="188"/>
      <c r="J111" s="470"/>
      <c r="K111" s="471">
        <f>E111</f>
        <v>193.79876639871634</v>
      </c>
      <c r="L111" s="188" t="s">
        <v>4</v>
      </c>
      <c r="M111" s="50"/>
      <c r="N111" s="10"/>
      <c r="T111" s="10"/>
      <c r="U111" s="10"/>
    </row>
    <row r="112" spans="1:23" ht="30" customHeight="1" thickBot="1" x14ac:dyDescent="0.4">
      <c r="A112" s="1199"/>
      <c r="B112" s="1200"/>
      <c r="C112" s="1200"/>
      <c r="D112" s="1200"/>
      <c r="E112" s="1200"/>
      <c r="F112" s="1200"/>
      <c r="G112" s="1200"/>
      <c r="H112" s="1200"/>
      <c r="I112" s="1200"/>
      <c r="J112" s="1200"/>
      <c r="K112" s="1200"/>
      <c r="L112" s="1201"/>
      <c r="M112" s="50"/>
      <c r="N112" s="53"/>
    </row>
    <row r="113" spans="1:23" s="396" customFormat="1" ht="30" customHeight="1" x14ac:dyDescent="0.35">
      <c r="A113" s="388" t="s">
        <v>1</v>
      </c>
      <c r="B113" s="389">
        <v>1164</v>
      </c>
      <c r="C113" s="1648" t="s">
        <v>62</v>
      </c>
      <c r="D113" s="1649"/>
      <c r="E113" s="392" t="s">
        <v>3</v>
      </c>
      <c r="F113" s="393" t="s">
        <v>4</v>
      </c>
      <c r="G113" s="390" t="s">
        <v>38</v>
      </c>
      <c r="H113" s="391">
        <v>5310.3738310893496</v>
      </c>
      <c r="I113" s="392" t="s">
        <v>5</v>
      </c>
      <c r="J113" s="1304" t="s">
        <v>2538</v>
      </c>
      <c r="K113" s="1305"/>
      <c r="L113" s="1306"/>
      <c r="M113" s="123"/>
      <c r="N113" s="466"/>
      <c r="P113" s="384"/>
      <c r="Q113" s="9"/>
      <c r="R113" s="9"/>
      <c r="S113" s="9"/>
      <c r="T113" s="9"/>
      <c r="U113" s="9"/>
      <c r="V113" s="9"/>
    </row>
    <row r="114" spans="1:23" ht="30" customHeight="1" x14ac:dyDescent="0.35">
      <c r="A114" s="185" t="s">
        <v>177</v>
      </c>
      <c r="B114" s="1272" t="s">
        <v>7</v>
      </c>
      <c r="C114" s="1272"/>
      <c r="D114" s="1272"/>
      <c r="E114" s="397" t="s">
        <v>52</v>
      </c>
      <c r="F114" s="397" t="s">
        <v>53</v>
      </c>
      <c r="G114" s="1225" t="s">
        <v>54</v>
      </c>
      <c r="H114" s="1226"/>
      <c r="I114" s="1221" t="s">
        <v>179</v>
      </c>
      <c r="J114" s="1222"/>
      <c r="K114" s="1209" t="s">
        <v>180</v>
      </c>
      <c r="L114" s="1210"/>
      <c r="M114" s="50"/>
      <c r="N114" s="53"/>
      <c r="O114" s="5"/>
      <c r="P114" s="9"/>
      <c r="Q114" s="34"/>
      <c r="R114" s="5"/>
      <c r="S114" s="35"/>
    </row>
    <row r="115" spans="1:23" ht="30" customHeight="1" x14ac:dyDescent="0.35">
      <c r="A115" s="401">
        <v>11110</v>
      </c>
      <c r="B115" s="1265" t="s">
        <v>2671</v>
      </c>
      <c r="C115" s="1265"/>
      <c r="D115" s="1265"/>
      <c r="E115" s="402">
        <v>149.66</v>
      </c>
      <c r="F115" s="407" t="s">
        <v>4</v>
      </c>
      <c r="G115" s="408"/>
      <c r="H115" s="408"/>
      <c r="I115" s="1217">
        <f>+'FY2024 MILCON Inflation Table'!F22</f>
        <v>0.95834826759383673</v>
      </c>
      <c r="J115" s="1218"/>
      <c r="K115" s="189">
        <f>+E115*I115</f>
        <v>143.42640172809359</v>
      </c>
      <c r="L115" s="395" t="s">
        <v>4</v>
      </c>
      <c r="M115" s="52"/>
      <c r="N115" s="317"/>
      <c r="O115" s="5"/>
      <c r="V115" s="10"/>
      <c r="W115" s="10"/>
    </row>
    <row r="116" spans="1:23" ht="30" customHeight="1" x14ac:dyDescent="0.35">
      <c r="A116" s="420">
        <v>93410</v>
      </c>
      <c r="B116" s="1265" t="s">
        <v>2660</v>
      </c>
      <c r="C116" s="1265"/>
      <c r="D116" s="1265"/>
      <c r="E116" s="402">
        <v>12.99</v>
      </c>
      <c r="F116" s="420" t="s">
        <v>16</v>
      </c>
      <c r="G116" s="421">
        <v>0.33329999999999999</v>
      </c>
      <c r="H116" s="422" t="s">
        <v>1827</v>
      </c>
      <c r="I116" s="1217">
        <f>+I115</f>
        <v>0.95834826759383673</v>
      </c>
      <c r="J116" s="1218"/>
      <c r="K116" s="315">
        <f>+E116*G116*I116</f>
        <v>4.1492330338814449</v>
      </c>
      <c r="L116" s="395" t="s">
        <v>4</v>
      </c>
      <c r="M116" s="52"/>
      <c r="N116" s="52"/>
      <c r="O116" s="5"/>
      <c r="V116" s="10"/>
      <c r="W116" s="10"/>
    </row>
    <row r="117" spans="1:23" ht="30" customHeight="1" x14ac:dyDescent="0.35">
      <c r="A117" s="420">
        <v>93410</v>
      </c>
      <c r="B117" s="1265" t="s">
        <v>2659</v>
      </c>
      <c r="C117" s="1265"/>
      <c r="D117" s="1265"/>
      <c r="E117" s="402">
        <v>20.86</v>
      </c>
      <c r="F117" s="420" t="s">
        <v>16</v>
      </c>
      <c r="G117" s="421">
        <v>0.33329999999999999</v>
      </c>
      <c r="H117" s="422" t="s">
        <v>1827</v>
      </c>
      <c r="I117" s="1217">
        <f>+I115</f>
        <v>0.95834826759383673</v>
      </c>
      <c r="J117" s="1218"/>
      <c r="K117" s="315">
        <f>+E117*G117*I117</f>
        <v>6.6630485825070771</v>
      </c>
      <c r="L117" s="395" t="s">
        <v>4</v>
      </c>
      <c r="M117" s="52"/>
      <c r="N117" s="52"/>
      <c r="O117" s="5"/>
      <c r="V117" s="10"/>
      <c r="W117" s="10"/>
    </row>
    <row r="118" spans="1:23" ht="30" customHeight="1" x14ac:dyDescent="0.35">
      <c r="A118" s="420">
        <v>93210</v>
      </c>
      <c r="B118" s="1265" t="s">
        <v>2661</v>
      </c>
      <c r="C118" s="1265"/>
      <c r="D118" s="1265"/>
      <c r="E118" s="423">
        <v>5.84</v>
      </c>
      <c r="F118" s="420" t="s">
        <v>4</v>
      </c>
      <c r="G118" s="421"/>
      <c r="H118" s="422"/>
      <c r="I118" s="1252">
        <f>+I116</f>
        <v>0.95834826759383673</v>
      </c>
      <c r="J118" s="1253"/>
      <c r="K118" s="189">
        <f>+E118*I118</f>
        <v>5.5967538827480068</v>
      </c>
      <c r="L118" s="395" t="s">
        <v>4</v>
      </c>
      <c r="M118" s="52"/>
      <c r="N118" s="52"/>
      <c r="O118" s="5"/>
      <c r="V118" s="10"/>
      <c r="W118" s="10"/>
    </row>
    <row r="119" spans="1:23" ht="30" customHeight="1" x14ac:dyDescent="0.35">
      <c r="A119" s="1392"/>
      <c r="B119" s="1393"/>
      <c r="C119" s="1393"/>
      <c r="D119" s="1393"/>
      <c r="E119" s="270"/>
      <c r="F119" s="420"/>
      <c r="G119" s="425"/>
      <c r="H119" s="425"/>
      <c r="I119" s="425"/>
      <c r="J119" s="426" t="s">
        <v>223</v>
      </c>
      <c r="K119" s="425">
        <f>SUM(K115:K118)</f>
        <v>159.83543722723013</v>
      </c>
      <c r="L119" s="395" t="s">
        <v>4</v>
      </c>
      <c r="M119" s="50"/>
      <c r="N119" s="50"/>
      <c r="O119" s="5"/>
      <c r="V119" s="10"/>
      <c r="W119" s="10"/>
    </row>
    <row r="120" spans="1:23" ht="30" customHeight="1" thickBot="1" x14ac:dyDescent="0.4">
      <c r="A120" s="1394"/>
      <c r="B120" s="1395"/>
      <c r="C120" s="1395"/>
      <c r="D120" s="1395"/>
      <c r="E120" s="427"/>
      <c r="F120" s="428"/>
      <c r="G120" s="429"/>
      <c r="H120" s="429"/>
      <c r="I120" s="429"/>
      <c r="J120" s="430" t="s">
        <v>37</v>
      </c>
      <c r="K120" s="429">
        <f>+K119</f>
        <v>159.83543722723013</v>
      </c>
      <c r="L120" s="431" t="s">
        <v>4</v>
      </c>
      <c r="M120" s="50"/>
      <c r="N120" s="50"/>
      <c r="O120" s="5"/>
      <c r="V120" s="10"/>
      <c r="W120" s="10"/>
    </row>
    <row r="121" spans="1:23" ht="30" customHeight="1" thickBot="1" x14ac:dyDescent="0.4">
      <c r="A121" s="1381"/>
      <c r="B121" s="1382"/>
      <c r="C121" s="1382"/>
      <c r="D121" s="1382"/>
      <c r="E121" s="1382"/>
      <c r="F121" s="1382"/>
      <c r="G121" s="1382"/>
      <c r="H121" s="1382"/>
      <c r="I121" s="1382"/>
      <c r="J121" s="1382"/>
      <c r="K121" s="1382"/>
      <c r="L121" s="1383"/>
      <c r="M121" s="50"/>
      <c r="N121" s="50"/>
      <c r="T121" s="10"/>
      <c r="U121" s="10"/>
    </row>
    <row r="122" spans="1:23" s="396" customFormat="1" ht="30" customHeight="1" x14ac:dyDescent="0.35">
      <c r="A122" s="388" t="s">
        <v>1</v>
      </c>
      <c r="B122" s="389">
        <v>1165</v>
      </c>
      <c r="C122" s="1487" t="s">
        <v>63</v>
      </c>
      <c r="D122" s="1488"/>
      <c r="E122" s="392" t="s">
        <v>3</v>
      </c>
      <c r="F122" s="393" t="s">
        <v>4</v>
      </c>
      <c r="G122" s="390" t="s">
        <v>38</v>
      </c>
      <c r="H122" s="391">
        <v>53192.9413369963</v>
      </c>
      <c r="I122" s="392" t="s">
        <v>5</v>
      </c>
      <c r="J122" s="1304" t="s">
        <v>2538</v>
      </c>
      <c r="K122" s="1305"/>
      <c r="L122" s="1306"/>
      <c r="M122" s="123"/>
      <c r="N122" s="466"/>
      <c r="P122" s="384"/>
      <c r="Q122" s="9"/>
      <c r="R122" s="9"/>
      <c r="S122" s="9"/>
      <c r="T122" s="9"/>
      <c r="U122" s="9"/>
      <c r="V122" s="9"/>
    </row>
    <row r="123" spans="1:23" ht="30" customHeight="1" x14ac:dyDescent="0.35">
      <c r="A123" s="185" t="s">
        <v>177</v>
      </c>
      <c r="B123" s="1272" t="s">
        <v>7</v>
      </c>
      <c r="C123" s="1272"/>
      <c r="D123" s="1272"/>
      <c r="E123" s="397" t="s">
        <v>52</v>
      </c>
      <c r="F123" s="397" t="s">
        <v>53</v>
      </c>
      <c r="G123" s="1225" t="s">
        <v>54</v>
      </c>
      <c r="H123" s="1226"/>
      <c r="I123" s="1221" t="s">
        <v>179</v>
      </c>
      <c r="J123" s="1222"/>
      <c r="K123" s="1209" t="s">
        <v>180</v>
      </c>
      <c r="L123" s="1210"/>
      <c r="M123" s="50"/>
      <c r="N123" s="50"/>
      <c r="O123" s="5"/>
      <c r="P123" s="9"/>
      <c r="Q123" s="34"/>
      <c r="R123" s="5"/>
      <c r="S123" s="35"/>
    </row>
    <row r="124" spans="1:23" ht="30" customHeight="1" x14ac:dyDescent="0.35">
      <c r="A124" s="401">
        <v>11110</v>
      </c>
      <c r="B124" s="1265" t="s">
        <v>2650</v>
      </c>
      <c r="C124" s="1265"/>
      <c r="D124" s="1265"/>
      <c r="E124" s="402">
        <v>119.89</v>
      </c>
      <c r="F124" s="407" t="s">
        <v>4</v>
      </c>
      <c r="G124" s="408"/>
      <c r="H124" s="408"/>
      <c r="I124" s="1217">
        <f>+'FY2024 MILCON Inflation Table'!F22</f>
        <v>0.95834826759383673</v>
      </c>
      <c r="J124" s="1218"/>
      <c r="K124" s="189">
        <f>+E124*I124</f>
        <v>114.89637380182509</v>
      </c>
      <c r="L124" s="395" t="s">
        <v>4</v>
      </c>
      <c r="M124" s="52"/>
      <c r="N124" s="52"/>
      <c r="O124" s="5"/>
      <c r="V124" s="10"/>
      <c r="W124" s="10"/>
    </row>
    <row r="125" spans="1:23" ht="30" customHeight="1" x14ac:dyDescent="0.35">
      <c r="A125" s="420">
        <v>93410</v>
      </c>
      <c r="B125" s="1265" t="s">
        <v>2660</v>
      </c>
      <c r="C125" s="1265"/>
      <c r="D125" s="1265"/>
      <c r="E125" s="402">
        <v>12.99</v>
      </c>
      <c r="F125" s="420" t="s">
        <v>16</v>
      </c>
      <c r="G125" s="421">
        <v>0.33329999999999999</v>
      </c>
      <c r="H125" s="422" t="s">
        <v>1827</v>
      </c>
      <c r="I125" s="1217">
        <f>+I124</f>
        <v>0.95834826759383673</v>
      </c>
      <c r="J125" s="1218"/>
      <c r="K125" s="315">
        <f>+E125*G125*I125</f>
        <v>4.1492330338814449</v>
      </c>
      <c r="L125" s="395" t="s">
        <v>4</v>
      </c>
      <c r="M125" s="52"/>
      <c r="N125" s="52"/>
      <c r="O125" s="5"/>
      <c r="V125" s="10"/>
      <c r="W125" s="10"/>
    </row>
    <row r="126" spans="1:23" ht="30" customHeight="1" x14ac:dyDescent="0.35">
      <c r="A126" s="420">
        <v>93410</v>
      </c>
      <c r="B126" s="1265" t="s">
        <v>2659</v>
      </c>
      <c r="C126" s="1265"/>
      <c r="D126" s="1265"/>
      <c r="E126" s="402">
        <v>20.86</v>
      </c>
      <c r="F126" s="420" t="s">
        <v>16</v>
      </c>
      <c r="G126" s="421">
        <v>0.33329999999999999</v>
      </c>
      <c r="H126" s="422" t="s">
        <v>1827</v>
      </c>
      <c r="I126" s="1217">
        <f>+I124</f>
        <v>0.95834826759383673</v>
      </c>
      <c r="J126" s="1218"/>
      <c r="K126" s="315">
        <f>+E126*G126*I126</f>
        <v>6.6630485825070771</v>
      </c>
      <c r="L126" s="395" t="s">
        <v>4</v>
      </c>
      <c r="M126" s="52"/>
      <c r="N126" s="52"/>
      <c r="O126" s="5"/>
      <c r="V126" s="10"/>
      <c r="W126" s="10"/>
    </row>
    <row r="127" spans="1:23" ht="30" customHeight="1" x14ac:dyDescent="0.35">
      <c r="A127" s="420">
        <v>93210</v>
      </c>
      <c r="B127" s="1265" t="s">
        <v>2661</v>
      </c>
      <c r="C127" s="1265"/>
      <c r="D127" s="1265"/>
      <c r="E127" s="423">
        <v>5.84</v>
      </c>
      <c r="F127" s="420" t="s">
        <v>4</v>
      </c>
      <c r="G127" s="421"/>
      <c r="H127" s="422"/>
      <c r="I127" s="1252">
        <f>+I124</f>
        <v>0.95834826759383673</v>
      </c>
      <c r="J127" s="1253"/>
      <c r="K127" s="189">
        <f>+E127*I127</f>
        <v>5.5967538827480068</v>
      </c>
      <c r="L127" s="395" t="s">
        <v>4</v>
      </c>
      <c r="M127" s="52"/>
      <c r="N127" s="52"/>
      <c r="O127" s="5"/>
      <c r="V127" s="10"/>
      <c r="W127" s="10"/>
    </row>
    <row r="128" spans="1:23" ht="30" customHeight="1" x14ac:dyDescent="0.35">
      <c r="A128" s="1392"/>
      <c r="B128" s="1393"/>
      <c r="C128" s="1393"/>
      <c r="D128" s="1393"/>
      <c r="E128" s="270"/>
      <c r="F128" s="420"/>
      <c r="G128" s="425"/>
      <c r="H128" s="425"/>
      <c r="I128" s="425"/>
      <c r="J128" s="426" t="s">
        <v>223</v>
      </c>
      <c r="K128" s="425">
        <f>SUM(K124:K127)</f>
        <v>131.30540930096163</v>
      </c>
      <c r="L128" s="395" t="s">
        <v>4</v>
      </c>
      <c r="M128" s="50"/>
      <c r="N128" s="50"/>
      <c r="O128" s="5"/>
      <c r="V128" s="10"/>
      <c r="W128" s="10"/>
    </row>
    <row r="129" spans="1:23" ht="30" customHeight="1" thickBot="1" x14ac:dyDescent="0.4">
      <c r="A129" s="1394"/>
      <c r="B129" s="1395"/>
      <c r="C129" s="1395"/>
      <c r="D129" s="1395"/>
      <c r="E129" s="427"/>
      <c r="F129" s="428"/>
      <c r="G129" s="429"/>
      <c r="H129" s="429"/>
      <c r="I129" s="429"/>
      <c r="J129" s="430" t="s">
        <v>37</v>
      </c>
      <c r="K129" s="429">
        <f>+K128</f>
        <v>131.30540930096163</v>
      </c>
      <c r="L129" s="431" t="s">
        <v>4</v>
      </c>
      <c r="M129" s="50"/>
      <c r="N129" s="50"/>
      <c r="O129" s="5"/>
      <c r="V129" s="10"/>
      <c r="W129" s="10"/>
    </row>
    <row r="130" spans="1:23" ht="30" customHeight="1" thickBot="1" x14ac:dyDescent="0.4">
      <c r="A130" s="1381"/>
      <c r="B130" s="1382"/>
      <c r="C130" s="1382"/>
      <c r="D130" s="1382"/>
      <c r="E130" s="1382"/>
      <c r="F130" s="1382"/>
      <c r="G130" s="1382"/>
      <c r="H130" s="1382"/>
      <c r="I130" s="1382"/>
      <c r="J130" s="1382"/>
      <c r="K130" s="1382"/>
      <c r="L130" s="1383"/>
      <c r="M130" s="50"/>
      <c r="N130" s="50"/>
      <c r="T130" s="10"/>
      <c r="U130" s="10"/>
    </row>
    <row r="131" spans="1:23" ht="30" customHeight="1" x14ac:dyDescent="0.35">
      <c r="A131" s="442" t="s">
        <v>1</v>
      </c>
      <c r="B131" s="442">
        <v>1166</v>
      </c>
      <c r="C131" s="1716" t="s">
        <v>64</v>
      </c>
      <c r="D131" s="1716"/>
      <c r="E131" s="443" t="s">
        <v>3</v>
      </c>
      <c r="F131" s="444" t="s">
        <v>4</v>
      </c>
      <c r="G131" s="445" t="s">
        <v>38</v>
      </c>
      <c r="H131" s="262">
        <v>64072.754065934001</v>
      </c>
      <c r="I131" s="443" t="s">
        <v>5</v>
      </c>
      <c r="J131" s="1466" t="s">
        <v>2822</v>
      </c>
      <c r="K131" s="1466"/>
      <c r="L131" s="1466"/>
      <c r="M131" s="97"/>
      <c r="N131" s="50"/>
      <c r="O131" s="472"/>
      <c r="V131" s="10"/>
      <c r="W131" s="10"/>
    </row>
    <row r="132" spans="1:23" ht="30" customHeight="1" x14ac:dyDescent="0.35">
      <c r="A132" s="446"/>
      <c r="B132" s="1717" t="s">
        <v>7</v>
      </c>
      <c r="C132" s="1717"/>
      <c r="D132" s="1717"/>
      <c r="E132" s="446" t="s">
        <v>52</v>
      </c>
      <c r="F132" s="446" t="s">
        <v>53</v>
      </c>
      <c r="G132" s="1294" t="s">
        <v>54</v>
      </c>
      <c r="H132" s="1294"/>
      <c r="I132" s="1221" t="s">
        <v>179</v>
      </c>
      <c r="J132" s="1222"/>
      <c r="K132" s="1209" t="s">
        <v>180</v>
      </c>
      <c r="L132" s="1210"/>
      <c r="N132" s="97"/>
      <c r="O132" s="54"/>
      <c r="T132" s="10"/>
      <c r="U132" s="10"/>
    </row>
    <row r="133" spans="1:23" ht="30" customHeight="1" thickBot="1" x14ac:dyDescent="0.4">
      <c r="A133" s="428"/>
      <c r="B133" s="1718" t="s">
        <v>46</v>
      </c>
      <c r="C133" s="1718"/>
      <c r="D133" s="1718"/>
      <c r="E133" s="449">
        <f>+K55</f>
        <v>47.498127095569053</v>
      </c>
      <c r="F133" s="450"/>
      <c r="G133" s="1701"/>
      <c r="H133" s="1701"/>
      <c r="I133" s="450"/>
      <c r="J133" s="473" t="s">
        <v>37</v>
      </c>
      <c r="K133" s="452">
        <f>E133</f>
        <v>47.498127095569053</v>
      </c>
      <c r="L133" s="450" t="s">
        <v>4</v>
      </c>
      <c r="M133" s="50"/>
      <c r="T133" s="10"/>
      <c r="U133" s="10"/>
    </row>
    <row r="134" spans="1:23" ht="30" customHeight="1" thickBot="1" x14ac:dyDescent="0.4">
      <c r="A134" s="1199"/>
      <c r="B134" s="1200"/>
      <c r="C134" s="1200"/>
      <c r="D134" s="1200"/>
      <c r="E134" s="1200"/>
      <c r="F134" s="1200"/>
      <c r="G134" s="1200"/>
      <c r="H134" s="1200"/>
      <c r="I134" s="1200"/>
      <c r="J134" s="1200"/>
      <c r="K134" s="1200"/>
      <c r="L134" s="1201"/>
      <c r="M134" s="50"/>
      <c r="N134" s="50"/>
      <c r="O134" s="5"/>
      <c r="V134" s="10"/>
      <c r="W134" s="10"/>
    </row>
    <row r="135" spans="1:23" ht="30" customHeight="1" x14ac:dyDescent="0.35">
      <c r="A135" s="388" t="s">
        <v>1</v>
      </c>
      <c r="B135" s="389">
        <v>1167</v>
      </c>
      <c r="C135" s="1681" t="s">
        <v>65</v>
      </c>
      <c r="D135" s="1682"/>
      <c r="E135" s="392" t="s">
        <v>3</v>
      </c>
      <c r="F135" s="393" t="s">
        <v>4</v>
      </c>
      <c r="G135" s="390" t="s">
        <v>38</v>
      </c>
      <c r="H135" s="391">
        <v>1945.5483870967701</v>
      </c>
      <c r="I135" s="392" t="s">
        <v>5</v>
      </c>
      <c r="J135" s="1207" t="s">
        <v>1100</v>
      </c>
      <c r="K135" s="1207"/>
      <c r="L135" s="1208"/>
      <c r="M135" s="97"/>
      <c r="N135" s="50"/>
      <c r="O135" s="5"/>
      <c r="V135" s="10"/>
      <c r="W135" s="10"/>
    </row>
    <row r="136" spans="1:23" ht="30" customHeight="1" x14ac:dyDescent="0.35">
      <c r="A136" s="474" t="s">
        <v>6</v>
      </c>
      <c r="B136" s="1334" t="s">
        <v>7</v>
      </c>
      <c r="C136" s="1335"/>
      <c r="D136" s="1336"/>
      <c r="E136" s="475" t="s">
        <v>8</v>
      </c>
      <c r="F136" s="476" t="s">
        <v>9</v>
      </c>
      <c r="G136" s="477" t="s">
        <v>10</v>
      </c>
      <c r="H136" s="478" t="s">
        <v>11</v>
      </c>
      <c r="I136" s="478" t="s">
        <v>12</v>
      </c>
      <c r="J136" s="479" t="s">
        <v>2739</v>
      </c>
      <c r="K136" s="474" t="s">
        <v>13</v>
      </c>
      <c r="L136" s="480" t="s">
        <v>39</v>
      </c>
      <c r="M136" s="50"/>
      <c r="N136" s="96"/>
      <c r="O136" s="384"/>
      <c r="P136" s="9"/>
      <c r="Q136" s="34"/>
      <c r="R136" s="5"/>
      <c r="S136" s="35"/>
    </row>
    <row r="137" spans="1:23" ht="30" customHeight="1" x14ac:dyDescent="0.35">
      <c r="A137" s="481" t="s">
        <v>66</v>
      </c>
      <c r="B137" s="1386" t="s">
        <v>2839</v>
      </c>
      <c r="C137" s="1327"/>
      <c r="D137" s="1328"/>
      <c r="E137" s="482">
        <v>20</v>
      </c>
      <c r="F137" s="483" t="s">
        <v>40</v>
      </c>
      <c r="G137" s="483">
        <v>34601.3643508397</v>
      </c>
      <c r="H137" s="483">
        <v>11704.404123304599</v>
      </c>
      <c r="I137" s="483">
        <v>0</v>
      </c>
      <c r="J137" s="483">
        <v>0</v>
      </c>
      <c r="K137" s="484">
        <v>46305.768474144301</v>
      </c>
      <c r="L137" s="483" t="s">
        <v>40</v>
      </c>
      <c r="M137" s="50"/>
      <c r="N137" s="96"/>
      <c r="O137" s="384"/>
      <c r="P137" s="9"/>
      <c r="Q137" s="34"/>
      <c r="R137" s="5"/>
      <c r="S137" s="35"/>
    </row>
    <row r="138" spans="1:23" ht="30" customHeight="1" x14ac:dyDescent="0.35">
      <c r="A138" s="481" t="s">
        <v>67</v>
      </c>
      <c r="B138" s="1326" t="s">
        <v>68</v>
      </c>
      <c r="C138" s="1327"/>
      <c r="D138" s="1328"/>
      <c r="E138" s="482">
        <v>2</v>
      </c>
      <c r="F138" s="483" t="s">
        <v>40</v>
      </c>
      <c r="G138" s="483">
        <v>39843.061081220003</v>
      </c>
      <c r="H138" s="483">
        <v>14040.548259855401</v>
      </c>
      <c r="I138" s="483">
        <v>80.145551682982699</v>
      </c>
      <c r="J138" s="483">
        <v>0</v>
      </c>
      <c r="K138" s="484">
        <v>53963.754892758298</v>
      </c>
      <c r="L138" s="483" t="s">
        <v>40</v>
      </c>
      <c r="M138" s="50"/>
      <c r="N138" s="96"/>
      <c r="O138" s="384"/>
      <c r="P138" s="9"/>
      <c r="Q138" s="34"/>
      <c r="R138" s="5"/>
      <c r="S138" s="35"/>
    </row>
    <row r="139" spans="1:23" ht="30" customHeight="1" x14ac:dyDescent="0.35">
      <c r="A139" s="481" t="s">
        <v>69</v>
      </c>
      <c r="B139" s="1326" t="s">
        <v>70</v>
      </c>
      <c r="C139" s="1327"/>
      <c r="D139" s="1328"/>
      <c r="E139" s="482">
        <v>2</v>
      </c>
      <c r="F139" s="483" t="s">
        <v>40</v>
      </c>
      <c r="G139" s="483">
        <v>34109.401824524401</v>
      </c>
      <c r="H139" s="483">
        <v>4424.6269122965896</v>
      </c>
      <c r="I139" s="483">
        <v>1384.1999198655601</v>
      </c>
      <c r="J139" s="483">
        <v>0</v>
      </c>
      <c r="K139" s="484">
        <v>39918.228656686602</v>
      </c>
      <c r="L139" s="483" t="s">
        <v>40</v>
      </c>
      <c r="M139" s="50"/>
      <c r="N139" s="96"/>
      <c r="O139" s="384"/>
      <c r="P139" s="9"/>
      <c r="Q139" s="34"/>
      <c r="R139" s="5"/>
      <c r="S139" s="35"/>
    </row>
    <row r="140" spans="1:23" ht="30" customHeight="1" x14ac:dyDescent="0.35">
      <c r="A140" s="481" t="s">
        <v>71</v>
      </c>
      <c r="B140" s="1326" t="s">
        <v>72</v>
      </c>
      <c r="C140" s="1327"/>
      <c r="D140" s="1328"/>
      <c r="E140" s="482">
        <v>1</v>
      </c>
      <c r="F140" s="483" t="s">
        <v>40</v>
      </c>
      <c r="G140" s="483">
        <v>6931.7519957819604</v>
      </c>
      <c r="H140" s="483">
        <v>3577.5549892413801</v>
      </c>
      <c r="I140" s="483">
        <v>0</v>
      </c>
      <c r="J140" s="483">
        <v>0</v>
      </c>
      <c r="K140" s="484">
        <v>10509.306985023301</v>
      </c>
      <c r="L140" s="483" t="s">
        <v>40</v>
      </c>
      <c r="M140" s="50"/>
      <c r="N140" s="96"/>
      <c r="O140" s="384"/>
      <c r="P140" s="9"/>
      <c r="Q140" s="34"/>
      <c r="R140" s="5"/>
      <c r="S140" s="35"/>
    </row>
    <row r="141" spans="1:23" ht="30" customHeight="1" x14ac:dyDescent="0.35">
      <c r="A141" s="481" t="s">
        <v>73</v>
      </c>
      <c r="B141" s="1326" t="s">
        <v>74</v>
      </c>
      <c r="C141" s="1327"/>
      <c r="D141" s="1328"/>
      <c r="E141" s="482">
        <v>1</v>
      </c>
      <c r="F141" s="483" t="s">
        <v>40</v>
      </c>
      <c r="G141" s="483">
        <v>83609.4672260761</v>
      </c>
      <c r="H141" s="483">
        <v>9438.5324616963098</v>
      </c>
      <c r="I141" s="483">
        <v>1.67398977946168</v>
      </c>
      <c r="J141" s="483">
        <v>0</v>
      </c>
      <c r="K141" s="484">
        <v>93049.673677551895</v>
      </c>
      <c r="L141" s="483" t="s">
        <v>40</v>
      </c>
      <c r="M141" s="50"/>
      <c r="N141" s="96"/>
      <c r="O141" s="384"/>
      <c r="P141" s="9"/>
      <c r="Q141" s="34"/>
      <c r="R141" s="5"/>
      <c r="S141" s="35"/>
    </row>
    <row r="142" spans="1:23" ht="30" customHeight="1" x14ac:dyDescent="0.35">
      <c r="A142" s="481" t="s">
        <v>14</v>
      </c>
      <c r="B142" s="1326" t="s">
        <v>15</v>
      </c>
      <c r="C142" s="1327"/>
      <c r="D142" s="1328"/>
      <c r="E142" s="482">
        <v>3065.93</v>
      </c>
      <c r="F142" s="483" t="s">
        <v>4</v>
      </c>
      <c r="G142" s="483">
        <v>0</v>
      </c>
      <c r="H142" s="483">
        <v>1489.38981187176</v>
      </c>
      <c r="I142" s="483">
        <v>1875.9641548127699</v>
      </c>
      <c r="J142" s="483">
        <v>0</v>
      </c>
      <c r="K142" s="484">
        <v>3365.35396668453</v>
      </c>
      <c r="L142" s="483" t="s">
        <v>4</v>
      </c>
      <c r="M142" s="50"/>
      <c r="N142" s="96"/>
      <c r="O142" s="384"/>
      <c r="P142" s="9"/>
      <c r="Q142" s="34"/>
      <c r="R142" s="5"/>
      <c r="S142" s="35"/>
    </row>
    <row r="143" spans="1:23" ht="30" customHeight="1" x14ac:dyDescent="0.35">
      <c r="A143" s="481" t="s">
        <v>17</v>
      </c>
      <c r="B143" s="1326" t="s">
        <v>18</v>
      </c>
      <c r="C143" s="1327"/>
      <c r="D143" s="1328"/>
      <c r="E143" s="482">
        <v>850.55</v>
      </c>
      <c r="F143" s="483" t="s">
        <v>16</v>
      </c>
      <c r="G143" s="483">
        <v>33475.098140595299</v>
      </c>
      <c r="H143" s="483">
        <v>0</v>
      </c>
      <c r="I143" s="483">
        <v>0</v>
      </c>
      <c r="J143" s="483">
        <v>0</v>
      </c>
      <c r="K143" s="484">
        <v>33475.098140595299</v>
      </c>
      <c r="L143" s="483" t="s">
        <v>16</v>
      </c>
      <c r="M143" s="50"/>
      <c r="N143" s="96"/>
      <c r="O143" s="384"/>
      <c r="P143" s="9"/>
      <c r="Q143" s="34"/>
      <c r="R143" s="5"/>
      <c r="S143" s="35"/>
    </row>
    <row r="144" spans="1:23" ht="30" customHeight="1" x14ac:dyDescent="0.35">
      <c r="A144" s="481" t="s">
        <v>19</v>
      </c>
      <c r="B144" s="1326" t="s">
        <v>20</v>
      </c>
      <c r="C144" s="1327"/>
      <c r="D144" s="1328"/>
      <c r="E144" s="482">
        <v>2442</v>
      </c>
      <c r="F144" s="483" t="s">
        <v>4</v>
      </c>
      <c r="G144" s="483">
        <v>8890.1564205377308</v>
      </c>
      <c r="H144" s="483">
        <v>1242.61200735529</v>
      </c>
      <c r="I144" s="483">
        <v>1733.46424015106</v>
      </c>
      <c r="J144" s="483">
        <v>0</v>
      </c>
      <c r="K144" s="484">
        <v>11866.2326680441</v>
      </c>
      <c r="L144" s="483" t="s">
        <v>4</v>
      </c>
      <c r="M144" s="50"/>
      <c r="N144" s="96"/>
      <c r="O144" s="384"/>
      <c r="P144" s="9"/>
      <c r="Q144" s="34"/>
      <c r="R144" s="5"/>
      <c r="S144" s="35"/>
    </row>
    <row r="145" spans="1:21" ht="30" customHeight="1" x14ac:dyDescent="0.35">
      <c r="A145" s="481" t="s">
        <v>32</v>
      </c>
      <c r="B145" s="1326" t="s">
        <v>75</v>
      </c>
      <c r="C145" s="1327"/>
      <c r="D145" s="1328"/>
      <c r="E145" s="482">
        <v>2442</v>
      </c>
      <c r="F145" s="483" t="s">
        <v>4</v>
      </c>
      <c r="G145" s="483">
        <v>22189.750334162902</v>
      </c>
      <c r="H145" s="483">
        <v>43585.627348227797</v>
      </c>
      <c r="I145" s="483">
        <v>20056.0998752501</v>
      </c>
      <c r="J145" s="483">
        <v>0</v>
      </c>
      <c r="K145" s="484">
        <v>85831.477557640799</v>
      </c>
      <c r="L145" s="483" t="s">
        <v>4</v>
      </c>
      <c r="M145" s="50"/>
      <c r="N145" s="96"/>
      <c r="O145" s="384"/>
      <c r="P145" s="9"/>
      <c r="Q145" s="34"/>
      <c r="R145" s="5"/>
      <c r="S145" s="35"/>
    </row>
    <row r="146" spans="1:21" ht="30" customHeight="1" x14ac:dyDescent="0.35">
      <c r="A146" s="481" t="s">
        <v>21</v>
      </c>
      <c r="B146" s="1326" t="s">
        <v>22</v>
      </c>
      <c r="C146" s="1327"/>
      <c r="D146" s="1328"/>
      <c r="E146" s="482">
        <v>2442</v>
      </c>
      <c r="F146" s="483" t="s">
        <v>4</v>
      </c>
      <c r="G146" s="483">
        <v>0</v>
      </c>
      <c r="H146" s="483">
        <v>14327.157726338401</v>
      </c>
      <c r="I146" s="483">
        <v>34272.9481434185</v>
      </c>
      <c r="J146" s="483">
        <v>0</v>
      </c>
      <c r="K146" s="484">
        <v>48600.105869756902</v>
      </c>
      <c r="L146" s="483" t="s">
        <v>4</v>
      </c>
      <c r="M146" s="50"/>
      <c r="N146" s="96"/>
      <c r="O146" s="384"/>
      <c r="P146" s="9"/>
      <c r="Q146" s="34"/>
      <c r="R146" s="5"/>
      <c r="S146" s="35"/>
    </row>
    <row r="147" spans="1:21" ht="30" customHeight="1" x14ac:dyDescent="0.35">
      <c r="A147" s="481" t="s">
        <v>23</v>
      </c>
      <c r="B147" s="1326" t="s">
        <v>24</v>
      </c>
      <c r="C147" s="1327"/>
      <c r="D147" s="1328"/>
      <c r="E147" s="482">
        <v>644.39</v>
      </c>
      <c r="F147" s="483" t="s">
        <v>16</v>
      </c>
      <c r="G147" s="483">
        <v>118563.883892276</v>
      </c>
      <c r="H147" s="483">
        <v>0</v>
      </c>
      <c r="I147" s="483">
        <v>0</v>
      </c>
      <c r="J147" s="483">
        <v>0</v>
      </c>
      <c r="K147" s="484">
        <v>118563.883892276</v>
      </c>
      <c r="L147" s="483" t="s">
        <v>16</v>
      </c>
      <c r="M147" s="50"/>
      <c r="N147" s="96"/>
      <c r="O147" s="384"/>
      <c r="P147" s="9"/>
      <c r="Q147" s="34"/>
      <c r="R147" s="5"/>
      <c r="S147" s="35"/>
    </row>
    <row r="148" spans="1:21" ht="30" customHeight="1" x14ac:dyDescent="0.35">
      <c r="A148" s="481" t="s">
        <v>25</v>
      </c>
      <c r="B148" s="1326" t="s">
        <v>26</v>
      </c>
      <c r="C148" s="1327"/>
      <c r="D148" s="1328"/>
      <c r="E148" s="482">
        <v>644.39</v>
      </c>
      <c r="F148" s="483" t="s">
        <v>16</v>
      </c>
      <c r="G148" s="483">
        <v>0</v>
      </c>
      <c r="H148" s="483">
        <v>581.21833789190703</v>
      </c>
      <c r="I148" s="483">
        <v>2169.6454457682298</v>
      </c>
      <c r="J148" s="483">
        <v>0</v>
      </c>
      <c r="K148" s="484">
        <v>2750.8637836601401</v>
      </c>
      <c r="L148" s="483" t="s">
        <v>16</v>
      </c>
      <c r="M148" s="50"/>
      <c r="N148" s="96"/>
      <c r="O148" s="384"/>
      <c r="P148" s="9"/>
      <c r="Q148" s="34"/>
      <c r="R148" s="5"/>
      <c r="S148" s="35"/>
    </row>
    <row r="149" spans="1:21" ht="30" customHeight="1" x14ac:dyDescent="0.35">
      <c r="A149" s="481" t="s">
        <v>27</v>
      </c>
      <c r="B149" s="1326" t="s">
        <v>50</v>
      </c>
      <c r="C149" s="1327"/>
      <c r="D149" s="1328"/>
      <c r="E149" s="482">
        <v>1050.06</v>
      </c>
      <c r="F149" s="483" t="s">
        <v>28</v>
      </c>
      <c r="G149" s="483">
        <v>1911.38363041561</v>
      </c>
      <c r="H149" s="483">
        <v>5248.1234295320401</v>
      </c>
      <c r="I149" s="483">
        <v>0</v>
      </c>
      <c r="J149" s="483">
        <v>0</v>
      </c>
      <c r="K149" s="484">
        <v>7159.5070599476603</v>
      </c>
      <c r="L149" s="483" t="s">
        <v>28</v>
      </c>
      <c r="M149" s="50"/>
      <c r="N149" s="96"/>
      <c r="O149" s="384"/>
      <c r="P149" s="9"/>
      <c r="Q149" s="34"/>
      <c r="R149" s="5"/>
      <c r="S149" s="35"/>
    </row>
    <row r="150" spans="1:21" ht="30" customHeight="1" x14ac:dyDescent="0.35">
      <c r="A150" s="481" t="s">
        <v>29</v>
      </c>
      <c r="B150" s="1326" t="s">
        <v>76</v>
      </c>
      <c r="C150" s="1327"/>
      <c r="D150" s="1328"/>
      <c r="E150" s="482">
        <v>1269.8399999999999</v>
      </c>
      <c r="F150" s="483" t="s">
        <v>28</v>
      </c>
      <c r="G150" s="483">
        <v>2311.44066933981</v>
      </c>
      <c r="H150" s="483">
        <v>6346.5678682713096</v>
      </c>
      <c r="I150" s="483">
        <v>0</v>
      </c>
      <c r="J150" s="483">
        <v>0</v>
      </c>
      <c r="K150" s="484">
        <v>8658.0085376111201</v>
      </c>
      <c r="L150" s="483" t="s">
        <v>28</v>
      </c>
      <c r="M150" s="50"/>
      <c r="N150" s="96"/>
      <c r="O150" s="384"/>
      <c r="P150" s="9"/>
      <c r="Q150" s="34"/>
      <c r="R150" s="5"/>
      <c r="S150" s="35"/>
    </row>
    <row r="151" spans="1:21" ht="30" customHeight="1" x14ac:dyDescent="0.35">
      <c r="A151" s="481" t="s">
        <v>30</v>
      </c>
      <c r="B151" s="1326" t="s">
        <v>45</v>
      </c>
      <c r="C151" s="1327"/>
      <c r="D151" s="1328"/>
      <c r="E151" s="482">
        <v>244.2</v>
      </c>
      <c r="F151" s="483" t="s">
        <v>28</v>
      </c>
      <c r="G151" s="483">
        <v>860.98361730432998</v>
      </c>
      <c r="H151" s="483">
        <v>3984.8063420047501</v>
      </c>
      <c r="I151" s="483">
        <v>0</v>
      </c>
      <c r="J151" s="483">
        <v>0</v>
      </c>
      <c r="K151" s="484">
        <v>4845.7899593090797</v>
      </c>
      <c r="L151" s="483" t="s">
        <v>28</v>
      </c>
      <c r="M151" s="50"/>
      <c r="N151" s="96"/>
      <c r="O151" s="384"/>
      <c r="P151" s="9"/>
      <c r="Q151" s="34"/>
      <c r="R151" s="5"/>
      <c r="S151" s="35"/>
    </row>
    <row r="152" spans="1:21" ht="30" customHeight="1" x14ac:dyDescent="0.35">
      <c r="A152" s="1353" t="s">
        <v>2733</v>
      </c>
      <c r="B152" s="1354"/>
      <c r="C152" s="1354"/>
      <c r="D152" s="1354"/>
      <c r="E152" s="485"/>
      <c r="F152" s="485"/>
      <c r="G152" s="485"/>
      <c r="H152" s="485"/>
      <c r="I152" s="485"/>
      <c r="J152" s="486" t="s">
        <v>223</v>
      </c>
      <c r="K152" s="487">
        <f>SUM(K137:K151)</f>
        <v>568863.05412168999</v>
      </c>
      <c r="L152" s="395" t="s">
        <v>31</v>
      </c>
      <c r="M152" s="96"/>
      <c r="N152" s="50"/>
      <c r="O152" s="384"/>
      <c r="P152" s="9"/>
      <c r="Q152" s="34"/>
      <c r="R152" s="5"/>
      <c r="S152" s="35"/>
    </row>
    <row r="153" spans="1:21" ht="30" customHeight="1" x14ac:dyDescent="0.35">
      <c r="A153" s="1699"/>
      <c r="B153" s="1699"/>
      <c r="C153" s="1699"/>
      <c r="D153" s="1699"/>
      <c r="E153" s="488"/>
      <c r="F153" s="441"/>
      <c r="G153" s="1387"/>
      <c r="H153" s="1388"/>
      <c r="I153" s="441"/>
      <c r="J153" s="489" t="s">
        <v>37</v>
      </c>
      <c r="K153" s="490">
        <f>K152/H135</f>
        <v>292.39213884090111</v>
      </c>
      <c r="L153" s="483" t="s">
        <v>4</v>
      </c>
      <c r="M153" s="50"/>
      <c r="N153" s="50"/>
      <c r="P153" s="9"/>
      <c r="Q153" s="34"/>
      <c r="R153" s="5"/>
      <c r="S153" s="35"/>
    </row>
    <row r="154" spans="1:21" ht="30" customHeight="1" thickBot="1" x14ac:dyDescent="0.4">
      <c r="A154" s="1183"/>
      <c r="B154" s="1183"/>
      <c r="C154" s="1183"/>
      <c r="D154" s="1183"/>
      <c r="E154" s="488"/>
      <c r="F154" s="441"/>
      <c r="G154" s="1191" t="s">
        <v>3000</v>
      </c>
      <c r="H154" s="1192"/>
      <c r="I154" s="1193"/>
      <c r="J154" s="570">
        <v>1.0438745311870332</v>
      </c>
      <c r="K154" s="1184">
        <f>+K153*J154</f>
        <v>305.22070685531958</v>
      </c>
      <c r="L154" s="483" t="s">
        <v>4</v>
      </c>
      <c r="M154" s="50"/>
      <c r="N154" s="97"/>
      <c r="O154" s="491"/>
      <c r="T154" s="10"/>
      <c r="U154" s="10"/>
    </row>
    <row r="155" spans="1:21" ht="30" customHeight="1" thickBot="1" x14ac:dyDescent="0.4">
      <c r="A155" s="1199"/>
      <c r="B155" s="1200"/>
      <c r="C155" s="1200"/>
      <c r="D155" s="1200"/>
      <c r="E155" s="1200"/>
      <c r="F155" s="1200"/>
      <c r="G155" s="1200"/>
      <c r="H155" s="1200"/>
      <c r="I155" s="1200"/>
      <c r="J155" s="1200"/>
      <c r="K155" s="1200"/>
      <c r="L155" s="1201"/>
      <c r="M155" s="50"/>
      <c r="O155" s="491"/>
      <c r="T155" s="10"/>
      <c r="U155" s="10"/>
    </row>
    <row r="156" spans="1:21" ht="30" customHeight="1" x14ac:dyDescent="0.35">
      <c r="A156" s="388" t="s">
        <v>1</v>
      </c>
      <c r="B156" s="389">
        <v>1211</v>
      </c>
      <c r="C156" s="1205" t="s">
        <v>77</v>
      </c>
      <c r="D156" s="1206"/>
      <c r="E156" s="392" t="s">
        <v>3</v>
      </c>
      <c r="F156" s="393" t="s">
        <v>78</v>
      </c>
      <c r="G156" s="390" t="s">
        <v>79</v>
      </c>
      <c r="H156" s="330">
        <v>16</v>
      </c>
      <c r="I156" s="392" t="s">
        <v>5</v>
      </c>
      <c r="J156" s="1304" t="s">
        <v>101</v>
      </c>
      <c r="K156" s="1305"/>
      <c r="L156" s="1306"/>
      <c r="M156" s="97"/>
      <c r="N156" s="50"/>
      <c r="O156" s="491"/>
      <c r="T156" s="10"/>
      <c r="U156" s="10"/>
    </row>
    <row r="157" spans="1:21" ht="30" customHeight="1" x14ac:dyDescent="0.35">
      <c r="A157" s="185" t="s">
        <v>6</v>
      </c>
      <c r="B157" s="1272" t="s">
        <v>7</v>
      </c>
      <c r="C157" s="1272"/>
      <c r="D157" s="1272"/>
      <c r="E157" s="185" t="s">
        <v>8</v>
      </c>
      <c r="F157" s="185" t="s">
        <v>9</v>
      </c>
      <c r="G157" s="492" t="s">
        <v>10</v>
      </c>
      <c r="H157" s="492" t="s">
        <v>11</v>
      </c>
      <c r="I157" s="492" t="s">
        <v>12</v>
      </c>
      <c r="J157" s="479" t="s">
        <v>2739</v>
      </c>
      <c r="K157" s="493" t="s">
        <v>13</v>
      </c>
      <c r="L157" s="494"/>
      <c r="N157" s="50"/>
      <c r="T157" s="10"/>
      <c r="U157" s="10"/>
    </row>
    <row r="158" spans="1:21" ht="30" customHeight="1" x14ac:dyDescent="0.35">
      <c r="A158" s="495" t="s">
        <v>80</v>
      </c>
      <c r="B158" s="1265" t="s">
        <v>81</v>
      </c>
      <c r="C158" s="1265"/>
      <c r="D158" s="1265"/>
      <c r="E158" s="496">
        <v>17</v>
      </c>
      <c r="F158" s="407" t="s">
        <v>40</v>
      </c>
      <c r="G158" s="408">
        <v>43231.127651158597</v>
      </c>
      <c r="H158" s="408">
        <v>17694.168653188601</v>
      </c>
      <c r="I158" s="408">
        <v>0</v>
      </c>
      <c r="J158" s="497">
        <v>0</v>
      </c>
      <c r="K158" s="408">
        <v>60925.296304347197</v>
      </c>
      <c r="L158" s="407" t="s">
        <v>40</v>
      </c>
      <c r="M158" s="96"/>
      <c r="N158" s="97"/>
      <c r="T158" s="10"/>
      <c r="U158" s="10"/>
    </row>
    <row r="159" spans="1:21" ht="30" customHeight="1" x14ac:dyDescent="0.35">
      <c r="A159" s="407" t="s">
        <v>82</v>
      </c>
      <c r="B159" s="1707" t="s">
        <v>83</v>
      </c>
      <c r="C159" s="1708"/>
      <c r="D159" s="1709"/>
      <c r="E159" s="498">
        <v>1160</v>
      </c>
      <c r="F159" s="407" t="s">
        <v>28</v>
      </c>
      <c r="G159" s="408">
        <v>177221.99616229601</v>
      </c>
      <c r="H159" s="408">
        <v>63000.520125268697</v>
      </c>
      <c r="I159" s="408">
        <v>890.81715193743605</v>
      </c>
      <c r="J159" s="497">
        <v>0</v>
      </c>
      <c r="K159" s="408">
        <v>241113.33343950199</v>
      </c>
      <c r="L159" s="407" t="s">
        <v>28</v>
      </c>
      <c r="M159" s="96"/>
    </row>
    <row r="160" spans="1:21" ht="30" customHeight="1" x14ac:dyDescent="0.35">
      <c r="A160" s="407" t="s">
        <v>84</v>
      </c>
      <c r="B160" s="1707" t="s">
        <v>85</v>
      </c>
      <c r="C160" s="1708"/>
      <c r="D160" s="1709"/>
      <c r="E160" s="498">
        <v>1160</v>
      </c>
      <c r="F160" s="407" t="s">
        <v>28</v>
      </c>
      <c r="G160" s="408">
        <v>933.75030236048497</v>
      </c>
      <c r="H160" s="408">
        <v>1533.66181877035</v>
      </c>
      <c r="I160" s="408">
        <v>0</v>
      </c>
      <c r="J160" s="497">
        <v>0</v>
      </c>
      <c r="K160" s="408">
        <v>2467.4121211308402</v>
      </c>
      <c r="L160" s="407" t="s">
        <v>28</v>
      </c>
      <c r="M160" s="96"/>
      <c r="N160" s="50"/>
    </row>
    <row r="161" spans="1:35" ht="30" customHeight="1" x14ac:dyDescent="0.35">
      <c r="A161" s="407" t="s">
        <v>86</v>
      </c>
      <c r="B161" s="1707" t="s">
        <v>87</v>
      </c>
      <c r="C161" s="1708"/>
      <c r="D161" s="1709"/>
      <c r="E161" s="498">
        <v>3</v>
      </c>
      <c r="F161" s="407" t="s">
        <v>40</v>
      </c>
      <c r="G161" s="408">
        <v>1286.28868182312</v>
      </c>
      <c r="H161" s="408">
        <v>277.555514646787</v>
      </c>
      <c r="I161" s="408">
        <v>0</v>
      </c>
      <c r="J161" s="497">
        <v>0</v>
      </c>
      <c r="K161" s="408">
        <v>1563.8441964699</v>
      </c>
      <c r="L161" s="407" t="s">
        <v>40</v>
      </c>
      <c r="M161" s="96"/>
      <c r="N161" s="50"/>
      <c r="T161" s="10"/>
      <c r="U161" s="10"/>
    </row>
    <row r="162" spans="1:35" ht="30" customHeight="1" x14ac:dyDescent="0.35">
      <c r="A162" s="407" t="s">
        <v>88</v>
      </c>
      <c r="B162" s="1702" t="s">
        <v>89</v>
      </c>
      <c r="C162" s="1703"/>
      <c r="D162" s="1704"/>
      <c r="E162" s="498">
        <v>1160</v>
      </c>
      <c r="F162" s="407" t="s">
        <v>28</v>
      </c>
      <c r="G162" s="408">
        <v>12538.9326316979</v>
      </c>
      <c r="H162" s="408">
        <v>34961.971796661797</v>
      </c>
      <c r="I162" s="408">
        <v>0</v>
      </c>
      <c r="J162" s="497">
        <v>0</v>
      </c>
      <c r="K162" s="408">
        <v>47500.904428359703</v>
      </c>
      <c r="L162" s="407" t="s">
        <v>28</v>
      </c>
      <c r="M162" s="96"/>
      <c r="N162" s="97"/>
      <c r="T162" s="53"/>
      <c r="U162" s="53"/>
    </row>
    <row r="163" spans="1:35" ht="30" customHeight="1" x14ac:dyDescent="0.35">
      <c r="A163" s="407" t="s">
        <v>90</v>
      </c>
      <c r="B163" s="1265" t="s">
        <v>91</v>
      </c>
      <c r="C163" s="1265"/>
      <c r="D163" s="1265"/>
      <c r="E163" s="498">
        <v>9040</v>
      </c>
      <c r="F163" s="407" t="s">
        <v>16</v>
      </c>
      <c r="G163" s="408">
        <v>0</v>
      </c>
      <c r="H163" s="408">
        <v>1471517.0825453401</v>
      </c>
      <c r="I163" s="408">
        <v>939346.900908196</v>
      </c>
      <c r="J163" s="497">
        <v>0</v>
      </c>
      <c r="K163" s="408">
        <v>2410863.9834535401</v>
      </c>
      <c r="L163" s="407" t="s">
        <v>16</v>
      </c>
      <c r="M163" s="96"/>
      <c r="T163" s="10"/>
      <c r="U163" s="10"/>
    </row>
    <row r="164" spans="1:35" ht="30" customHeight="1" x14ac:dyDescent="0.35">
      <c r="A164" s="407" t="s">
        <v>92</v>
      </c>
      <c r="B164" s="1265" t="s">
        <v>93</v>
      </c>
      <c r="C164" s="1265"/>
      <c r="D164" s="1265"/>
      <c r="E164" s="498">
        <v>9040</v>
      </c>
      <c r="F164" s="407" t="s">
        <v>16</v>
      </c>
      <c r="G164" s="408">
        <v>3333968.26818184</v>
      </c>
      <c r="H164" s="408">
        <v>100038.995734896</v>
      </c>
      <c r="I164" s="408">
        <v>86853.705808889295</v>
      </c>
      <c r="J164" s="497">
        <v>0</v>
      </c>
      <c r="K164" s="408">
        <v>3520860.9697256298</v>
      </c>
      <c r="L164" s="407" t="s">
        <v>16</v>
      </c>
      <c r="M164" s="96"/>
      <c r="N164" s="50"/>
      <c r="O164" s="472"/>
      <c r="V164" s="10"/>
      <c r="W164" s="10"/>
    </row>
    <row r="165" spans="1:35" ht="30" customHeight="1" x14ac:dyDescent="0.35">
      <c r="A165" s="407" t="s">
        <v>94</v>
      </c>
      <c r="B165" s="1265" t="s">
        <v>95</v>
      </c>
      <c r="C165" s="1265"/>
      <c r="D165" s="1265"/>
      <c r="E165" s="498">
        <v>17</v>
      </c>
      <c r="F165" s="407" t="s">
        <v>40</v>
      </c>
      <c r="G165" s="408">
        <v>174223.438428041</v>
      </c>
      <c r="H165" s="408">
        <v>42327.222794240297</v>
      </c>
      <c r="I165" s="408">
        <v>0</v>
      </c>
      <c r="J165" s="497">
        <v>0</v>
      </c>
      <c r="K165" s="408">
        <v>216550.66122228201</v>
      </c>
      <c r="L165" s="407" t="s">
        <v>40</v>
      </c>
      <c r="M165" s="96"/>
      <c r="N165" s="50"/>
      <c r="T165" s="10"/>
      <c r="U165" s="10"/>
    </row>
    <row r="166" spans="1:35" ht="30" customHeight="1" x14ac:dyDescent="0.35">
      <c r="A166" s="407" t="s">
        <v>96</v>
      </c>
      <c r="B166" s="1265" t="s">
        <v>97</v>
      </c>
      <c r="C166" s="1265"/>
      <c r="D166" s="1265"/>
      <c r="E166" s="498">
        <v>1160</v>
      </c>
      <c r="F166" s="407" t="s">
        <v>28</v>
      </c>
      <c r="G166" s="408">
        <v>12195.9223165451</v>
      </c>
      <c r="H166" s="408">
        <v>19684.543173836399</v>
      </c>
      <c r="I166" s="408">
        <v>3540.90378195933</v>
      </c>
      <c r="J166" s="497">
        <v>0</v>
      </c>
      <c r="K166" s="408">
        <v>35421.369272340897</v>
      </c>
      <c r="L166" s="407" t="s">
        <v>28</v>
      </c>
      <c r="M166" s="96"/>
      <c r="N166" s="506"/>
      <c r="T166" s="10"/>
      <c r="U166" s="10"/>
    </row>
    <row r="167" spans="1:35" ht="30" customHeight="1" x14ac:dyDescent="0.35">
      <c r="A167" s="407" t="s">
        <v>98</v>
      </c>
      <c r="B167" s="1390" t="s">
        <v>99</v>
      </c>
      <c r="C167" s="1390"/>
      <c r="D167" s="1391"/>
      <c r="E167" s="498">
        <v>17</v>
      </c>
      <c r="F167" s="407" t="s">
        <v>40</v>
      </c>
      <c r="G167" s="408">
        <v>233191.16013383301</v>
      </c>
      <c r="H167" s="408">
        <v>49968.078662637599</v>
      </c>
      <c r="I167" s="408">
        <v>12170.696318497699</v>
      </c>
      <c r="J167" s="497">
        <v>0</v>
      </c>
      <c r="K167" s="408">
        <v>295329.93511496898</v>
      </c>
      <c r="L167" s="407" t="s">
        <v>40</v>
      </c>
      <c r="M167" s="96"/>
      <c r="O167" s="507"/>
      <c r="P167" s="508"/>
      <c r="Q167" s="508"/>
      <c r="R167" s="466"/>
      <c r="S167" s="396"/>
      <c r="T167" s="472"/>
      <c r="U167" s="103"/>
      <c r="V167" s="466"/>
      <c r="W167" s="509"/>
      <c r="X167" s="472"/>
      <c r="Y167" s="472"/>
      <c r="Z167" s="50"/>
      <c r="AA167" s="472"/>
      <c r="AB167" s="14"/>
      <c r="AH167" s="10"/>
      <c r="AI167" s="10"/>
    </row>
    <row r="168" spans="1:35" ht="30" customHeight="1" x14ac:dyDescent="0.35">
      <c r="A168" s="1511" t="s">
        <v>2734</v>
      </c>
      <c r="B168" s="1521"/>
      <c r="C168" s="1521"/>
      <c r="D168" s="1237"/>
      <c r="E168" s="502"/>
      <c r="F168" s="407"/>
      <c r="G168" s="503"/>
      <c r="I168" s="393"/>
      <c r="J168" s="504" t="s">
        <v>47</v>
      </c>
      <c r="K168" s="505">
        <f>SUM(K158:K167)</f>
        <v>6832597.7092785705</v>
      </c>
      <c r="L168" s="395" t="s">
        <v>31</v>
      </c>
      <c r="M168" s="96"/>
      <c r="N168" s="107"/>
      <c r="O168" s="54"/>
      <c r="T168" s="10"/>
      <c r="U168" s="10"/>
    </row>
    <row r="169" spans="1:35" ht="30" customHeight="1" x14ac:dyDescent="0.35">
      <c r="A169" s="1696"/>
      <c r="B169" s="1697"/>
      <c r="C169" s="1697"/>
      <c r="D169" s="1698"/>
      <c r="E169" s="503"/>
      <c r="F169" s="503"/>
      <c r="G169" s="503"/>
      <c r="H169" s="503"/>
      <c r="I169" s="421"/>
      <c r="J169" s="401" t="s">
        <v>2735</v>
      </c>
      <c r="K169" s="187">
        <f>+K168/H156</f>
        <v>427037.35682991066</v>
      </c>
      <c r="L169" s="407" t="s">
        <v>78</v>
      </c>
      <c r="N169" s="50"/>
      <c r="T169" s="10"/>
      <c r="U169" s="10"/>
    </row>
    <row r="170" spans="1:35" ht="30" customHeight="1" x14ac:dyDescent="0.35">
      <c r="A170" s="1696"/>
      <c r="B170" s="1697"/>
      <c r="C170" s="1697"/>
      <c r="D170" s="1698"/>
      <c r="E170" s="510"/>
      <c r="F170" s="510"/>
      <c r="G170" s="510"/>
      <c r="H170" s="510"/>
      <c r="I170" s="510"/>
      <c r="J170" s="511" t="s">
        <v>37</v>
      </c>
      <c r="K170" s="512">
        <f>+K169</f>
        <v>427037.35682991066</v>
      </c>
      <c r="L170" s="428" t="s">
        <v>78</v>
      </c>
      <c r="N170" s="97"/>
      <c r="O170" s="5"/>
      <c r="V170" s="10"/>
      <c r="W170" s="10"/>
    </row>
    <row r="171" spans="1:35" ht="30" customHeight="1" thickBot="1" x14ac:dyDescent="0.4">
      <c r="A171" s="1183"/>
      <c r="B171" s="1183"/>
      <c r="C171" s="1183"/>
      <c r="D171" s="1183"/>
      <c r="E171" s="488"/>
      <c r="F171" s="441"/>
      <c r="G171" s="1191" t="s">
        <v>3000</v>
      </c>
      <c r="H171" s="1192"/>
      <c r="I171" s="1193"/>
      <c r="J171" s="570">
        <v>1.0438745311870332</v>
      </c>
      <c r="K171" s="1184">
        <f>+K170*J171</f>
        <v>445773.42066017282</v>
      </c>
      <c r="L171" s="486" t="s">
        <v>78</v>
      </c>
      <c r="M171" s="50"/>
      <c r="N171" s="97"/>
      <c r="O171" s="491"/>
      <c r="T171" s="10"/>
      <c r="U171" s="10"/>
    </row>
    <row r="172" spans="1:35" ht="30" customHeight="1" thickBot="1" x14ac:dyDescent="0.4">
      <c r="A172" s="1199"/>
      <c r="B172" s="1200"/>
      <c r="C172" s="1200"/>
      <c r="D172" s="1200"/>
      <c r="E172" s="1200"/>
      <c r="F172" s="1200"/>
      <c r="G172" s="1200"/>
      <c r="H172" s="1200"/>
      <c r="I172" s="1200"/>
      <c r="J172" s="1200"/>
      <c r="K172" s="1200"/>
      <c r="L172" s="1201"/>
      <c r="M172" s="97"/>
      <c r="T172" s="10"/>
      <c r="U172" s="10"/>
    </row>
    <row r="173" spans="1:35" ht="30" customHeight="1" x14ac:dyDescent="0.35">
      <c r="A173" s="388" t="s">
        <v>1</v>
      </c>
      <c r="B173" s="389">
        <v>1221</v>
      </c>
      <c r="C173" s="1290" t="s">
        <v>100</v>
      </c>
      <c r="D173" s="1291"/>
      <c r="E173" s="392" t="s">
        <v>3</v>
      </c>
      <c r="F173" s="393" t="s">
        <v>78</v>
      </c>
      <c r="G173" s="390" t="s">
        <v>2</v>
      </c>
      <c r="H173" s="330">
        <v>2</v>
      </c>
      <c r="I173" s="392" t="s">
        <v>5</v>
      </c>
      <c r="J173" s="1304" t="s">
        <v>101</v>
      </c>
      <c r="K173" s="1305"/>
      <c r="L173" s="1306"/>
      <c r="M173" s="326"/>
      <c r="N173" s="50"/>
      <c r="O173" s="491"/>
      <c r="T173" s="10"/>
      <c r="U173" s="10"/>
    </row>
    <row r="174" spans="1:35" ht="30" customHeight="1" x14ac:dyDescent="0.35">
      <c r="A174" s="185" t="s">
        <v>6</v>
      </c>
      <c r="B174" s="1272" t="s">
        <v>7</v>
      </c>
      <c r="C174" s="1272"/>
      <c r="D174" s="1272"/>
      <c r="E174" s="185" t="s">
        <v>8</v>
      </c>
      <c r="F174" s="185" t="s">
        <v>9</v>
      </c>
      <c r="G174" s="492" t="s">
        <v>10</v>
      </c>
      <c r="H174" s="492" t="s">
        <v>11</v>
      </c>
      <c r="I174" s="492" t="s">
        <v>12</v>
      </c>
      <c r="J174" s="479" t="s">
        <v>2739</v>
      </c>
      <c r="K174" s="493" t="s">
        <v>13</v>
      </c>
      <c r="L174" s="494"/>
      <c r="M174" s="50"/>
      <c r="N174" s="50"/>
      <c r="O174" s="491"/>
      <c r="T174" s="10"/>
      <c r="U174" s="10"/>
    </row>
    <row r="175" spans="1:35" ht="30" customHeight="1" x14ac:dyDescent="0.35">
      <c r="A175" s="495" t="s">
        <v>80</v>
      </c>
      <c r="B175" s="1265" t="s">
        <v>81</v>
      </c>
      <c r="C175" s="1265"/>
      <c r="D175" s="1265"/>
      <c r="E175" s="496">
        <v>2</v>
      </c>
      <c r="F175" s="407" t="s">
        <v>40</v>
      </c>
      <c r="G175" s="408">
        <v>5086.0150177833602</v>
      </c>
      <c r="H175" s="408">
        <v>2081.6669003751299</v>
      </c>
      <c r="I175" s="408">
        <v>0</v>
      </c>
      <c r="J175" s="497">
        <v>0</v>
      </c>
      <c r="K175" s="408">
        <f>+I175+H175+G175</f>
        <v>7167.6819181584906</v>
      </c>
      <c r="L175" s="407" t="s">
        <v>40</v>
      </c>
      <c r="M175" s="96"/>
      <c r="N175" s="97"/>
      <c r="O175" s="491"/>
      <c r="T175" s="10"/>
      <c r="U175" s="10"/>
    </row>
    <row r="176" spans="1:35" ht="30" customHeight="1" x14ac:dyDescent="0.35">
      <c r="A176" s="407" t="s">
        <v>82</v>
      </c>
      <c r="B176" s="1265" t="s">
        <v>83</v>
      </c>
      <c r="C176" s="1265"/>
      <c r="D176" s="1265"/>
      <c r="E176" s="498">
        <v>420</v>
      </c>
      <c r="F176" s="407" t="s">
        <v>28</v>
      </c>
      <c r="G176" s="408">
        <v>64166.584817383096</v>
      </c>
      <c r="H176" s="408">
        <v>22810.533148804199</v>
      </c>
      <c r="I176" s="408">
        <v>322.53724466700299</v>
      </c>
      <c r="J176" s="497">
        <v>0</v>
      </c>
      <c r="K176" s="408">
        <f t="shared" ref="K176:K185" si="0">+I176+H176+G176</f>
        <v>87299.655210854296</v>
      </c>
      <c r="L176" s="407" t="s">
        <v>28</v>
      </c>
      <c r="M176" s="96"/>
      <c r="T176" s="10"/>
      <c r="U176" s="10"/>
    </row>
    <row r="177" spans="1:23" ht="30" customHeight="1" x14ac:dyDescent="0.35">
      <c r="A177" s="407" t="s">
        <v>84</v>
      </c>
      <c r="B177" s="1265" t="s">
        <v>85</v>
      </c>
      <c r="C177" s="1265"/>
      <c r="D177" s="1265"/>
      <c r="E177" s="498">
        <v>420</v>
      </c>
      <c r="F177" s="407" t="s">
        <v>28</v>
      </c>
      <c r="G177" s="408">
        <v>338.082006027072</v>
      </c>
      <c r="H177" s="408">
        <v>555.29134817547197</v>
      </c>
      <c r="I177" s="408">
        <v>0</v>
      </c>
      <c r="J177" s="497">
        <v>0</v>
      </c>
      <c r="K177" s="408">
        <f t="shared" si="0"/>
        <v>893.37335420254396</v>
      </c>
      <c r="L177" s="407" t="s">
        <v>28</v>
      </c>
      <c r="M177" s="96"/>
      <c r="N177" s="50"/>
      <c r="T177" s="10"/>
      <c r="U177" s="10"/>
    </row>
    <row r="178" spans="1:23" ht="30" customHeight="1" x14ac:dyDescent="0.35">
      <c r="A178" s="407" t="s">
        <v>86</v>
      </c>
      <c r="B178" s="1265" t="s">
        <v>87</v>
      </c>
      <c r="C178" s="1265"/>
      <c r="D178" s="1265"/>
      <c r="E178" s="498">
        <v>4</v>
      </c>
      <c r="F178" s="407" t="s">
        <v>40</v>
      </c>
      <c r="G178" s="408">
        <v>1715.0515757641599</v>
      </c>
      <c r="H178" s="408">
        <v>370.074019529049</v>
      </c>
      <c r="I178" s="408">
        <v>0</v>
      </c>
      <c r="J178" s="497">
        <v>0</v>
      </c>
      <c r="K178" s="408">
        <f t="shared" si="0"/>
        <v>2085.1255952932088</v>
      </c>
      <c r="L178" s="407" t="s">
        <v>40</v>
      </c>
      <c r="M178" s="96"/>
      <c r="N178" s="50"/>
    </row>
    <row r="179" spans="1:23" ht="30" customHeight="1" x14ac:dyDescent="0.35">
      <c r="A179" s="407" t="s">
        <v>88</v>
      </c>
      <c r="B179" s="1265" t="s">
        <v>89</v>
      </c>
      <c r="C179" s="1265"/>
      <c r="D179" s="1265"/>
      <c r="E179" s="498">
        <v>220</v>
      </c>
      <c r="F179" s="407" t="s">
        <v>28</v>
      </c>
      <c r="G179" s="408">
        <v>2378.07343014961</v>
      </c>
      <c r="H179" s="408">
        <v>6630.7187890220703</v>
      </c>
      <c r="I179" s="408">
        <v>0</v>
      </c>
      <c r="J179" s="497">
        <v>0</v>
      </c>
      <c r="K179" s="408">
        <f t="shared" si="0"/>
        <v>9008.7922191716807</v>
      </c>
      <c r="L179" s="407" t="s">
        <v>28</v>
      </c>
      <c r="M179" s="96"/>
      <c r="N179" s="96"/>
    </row>
    <row r="180" spans="1:23" ht="30" customHeight="1" x14ac:dyDescent="0.35">
      <c r="A180" s="407" t="s">
        <v>92</v>
      </c>
      <c r="B180" s="1265" t="s">
        <v>93</v>
      </c>
      <c r="C180" s="1265" t="s">
        <v>93</v>
      </c>
      <c r="D180" s="1265" t="s">
        <v>93</v>
      </c>
      <c r="E180" s="498">
        <v>1260</v>
      </c>
      <c r="F180" s="407" t="s">
        <v>40</v>
      </c>
      <c r="G180" s="408">
        <v>464690.267467823</v>
      </c>
      <c r="H180" s="408">
        <v>13943.4883435806</v>
      </c>
      <c r="I180" s="408">
        <v>12105.715632654899</v>
      </c>
      <c r="J180" s="497">
        <v>0</v>
      </c>
      <c r="K180" s="408">
        <f t="shared" si="0"/>
        <v>490739.47144405846</v>
      </c>
      <c r="L180" s="407" t="s">
        <v>40</v>
      </c>
      <c r="M180" s="96"/>
      <c r="N180" s="97"/>
    </row>
    <row r="181" spans="1:23" ht="30" customHeight="1" x14ac:dyDescent="0.35">
      <c r="A181" s="407" t="s">
        <v>94</v>
      </c>
      <c r="B181" s="1265" t="s">
        <v>95</v>
      </c>
      <c r="C181" s="1265" t="s">
        <v>95</v>
      </c>
      <c r="D181" s="1265" t="s">
        <v>95</v>
      </c>
      <c r="E181" s="419">
        <v>2</v>
      </c>
      <c r="F181" s="407" t="s">
        <v>40</v>
      </c>
      <c r="G181" s="425">
        <v>20496.875109181299</v>
      </c>
      <c r="H181" s="425">
        <v>4979.6732699106196</v>
      </c>
      <c r="I181" s="425">
        <v>0</v>
      </c>
      <c r="J181" s="497">
        <v>0</v>
      </c>
      <c r="K181" s="408">
        <f t="shared" si="0"/>
        <v>25476.548379091917</v>
      </c>
      <c r="L181" s="407" t="s">
        <v>40</v>
      </c>
      <c r="M181" s="96"/>
      <c r="T181" s="10"/>
      <c r="U181" s="10"/>
    </row>
    <row r="182" spans="1:23" ht="30" customHeight="1" x14ac:dyDescent="0.35">
      <c r="A182" s="407" t="s">
        <v>2432</v>
      </c>
      <c r="B182" s="1265" t="s">
        <v>2736</v>
      </c>
      <c r="C182" s="1265" t="s">
        <v>2736</v>
      </c>
      <c r="D182" s="1265" t="s">
        <v>2736</v>
      </c>
      <c r="E182" s="498">
        <v>2</v>
      </c>
      <c r="F182" s="407" t="s">
        <v>40</v>
      </c>
      <c r="G182" s="408">
        <v>664876.31000000006</v>
      </c>
      <c r="H182" s="408">
        <v>26588.67</v>
      </c>
      <c r="I182" s="408">
        <v>3268.57</v>
      </c>
      <c r="J182" s="497">
        <v>0</v>
      </c>
      <c r="K182" s="408">
        <f t="shared" si="0"/>
        <v>694733.55</v>
      </c>
      <c r="L182" s="407" t="s">
        <v>40</v>
      </c>
      <c r="M182" s="96"/>
      <c r="N182" s="50"/>
      <c r="T182" s="53"/>
      <c r="U182" s="53"/>
    </row>
    <row r="183" spans="1:23" ht="30" customHeight="1" x14ac:dyDescent="0.35">
      <c r="A183" s="407" t="s">
        <v>102</v>
      </c>
      <c r="B183" s="1265" t="s">
        <v>103</v>
      </c>
      <c r="C183" s="1265" t="s">
        <v>103</v>
      </c>
      <c r="D183" s="1265" t="s">
        <v>103</v>
      </c>
      <c r="E183" s="498">
        <v>2</v>
      </c>
      <c r="F183" s="407" t="s">
        <v>40</v>
      </c>
      <c r="G183" s="408">
        <v>150674.837671541</v>
      </c>
      <c r="H183" s="408">
        <v>22167.5471501518</v>
      </c>
      <c r="I183" s="408">
        <v>2730.8523958856899</v>
      </c>
      <c r="J183" s="497">
        <v>0</v>
      </c>
      <c r="K183" s="408">
        <f t="shared" si="0"/>
        <v>175573.23721757848</v>
      </c>
      <c r="L183" s="407" t="s">
        <v>40</v>
      </c>
      <c r="M183" s="96"/>
      <c r="N183" s="50"/>
      <c r="T183" s="10"/>
      <c r="U183" s="10"/>
    </row>
    <row r="184" spans="1:23" ht="30" customHeight="1" x14ac:dyDescent="0.35">
      <c r="A184" s="407" t="s">
        <v>96</v>
      </c>
      <c r="B184" s="1265" t="s">
        <v>2737</v>
      </c>
      <c r="C184" s="1265" t="s">
        <v>2737</v>
      </c>
      <c r="D184" s="1265" t="s">
        <v>2737</v>
      </c>
      <c r="E184" s="498">
        <v>420</v>
      </c>
      <c r="F184" s="407" t="s">
        <v>28</v>
      </c>
      <c r="G184" s="408">
        <v>4415.7649766801296</v>
      </c>
      <c r="H184" s="408">
        <v>7127.1621836304303</v>
      </c>
      <c r="I184" s="408">
        <v>1282.0513693301</v>
      </c>
      <c r="J184" s="497">
        <v>0</v>
      </c>
      <c r="K184" s="408">
        <f t="shared" si="0"/>
        <v>12824.978529640659</v>
      </c>
      <c r="L184" s="407" t="s">
        <v>28</v>
      </c>
      <c r="M184" s="96"/>
      <c r="N184" s="64"/>
      <c r="O184" s="472"/>
      <c r="V184" s="10"/>
      <c r="W184" s="10"/>
    </row>
    <row r="185" spans="1:23" ht="30" customHeight="1" x14ac:dyDescent="0.35">
      <c r="A185" s="407" t="s">
        <v>98</v>
      </c>
      <c r="B185" s="1265" t="s">
        <v>2738</v>
      </c>
      <c r="C185" s="1265" t="s">
        <v>2738</v>
      </c>
      <c r="D185" s="1265" t="s">
        <v>2738</v>
      </c>
      <c r="E185" s="498">
        <v>2</v>
      </c>
      <c r="F185" s="407" t="s">
        <v>40</v>
      </c>
      <c r="G185" s="429">
        <v>27434.2541333921</v>
      </c>
      <c r="H185" s="429">
        <v>5878.5974897220703</v>
      </c>
      <c r="I185" s="429">
        <v>1431.84662570561</v>
      </c>
      <c r="J185" s="497">
        <v>0</v>
      </c>
      <c r="K185" s="408">
        <f t="shared" si="0"/>
        <v>34744.698248819783</v>
      </c>
      <c r="L185" s="407" t="s">
        <v>40</v>
      </c>
      <c r="M185" s="96"/>
      <c r="O185" s="54"/>
      <c r="T185" s="10"/>
      <c r="U185" s="10"/>
    </row>
    <row r="186" spans="1:23" ht="30" customHeight="1" x14ac:dyDescent="0.35">
      <c r="A186" s="1511" t="s">
        <v>2734</v>
      </c>
      <c r="B186" s="1521"/>
      <c r="C186" s="1521"/>
      <c r="D186" s="1237"/>
      <c r="E186" s="502"/>
      <c r="F186" s="513"/>
      <c r="G186" s="278"/>
      <c r="H186" s="278"/>
      <c r="I186" s="514"/>
      <c r="J186" s="515" t="s">
        <v>47</v>
      </c>
      <c r="K186" s="505">
        <f>SUM(K175:K185)</f>
        <v>1540547.1121168695</v>
      </c>
      <c r="L186" s="395" t="s">
        <v>31</v>
      </c>
      <c r="M186" s="98"/>
      <c r="N186" s="50"/>
      <c r="T186" s="10"/>
      <c r="U186" s="10"/>
    </row>
    <row r="187" spans="1:23" ht="30" customHeight="1" x14ac:dyDescent="0.35">
      <c r="A187" s="1696"/>
      <c r="B187" s="1697"/>
      <c r="C187" s="1697"/>
      <c r="D187" s="1698"/>
      <c r="E187" s="503"/>
      <c r="F187" s="412"/>
      <c r="G187" s="278"/>
      <c r="H187" s="425"/>
      <c r="I187" s="516"/>
      <c r="J187" s="278"/>
      <c r="K187" s="278"/>
      <c r="L187" s="278"/>
      <c r="M187" s="164"/>
      <c r="N187" s="50"/>
      <c r="O187" s="5"/>
      <c r="V187" s="10"/>
      <c r="W187" s="10"/>
    </row>
    <row r="188" spans="1:23" ht="30" customHeight="1" x14ac:dyDescent="0.35">
      <c r="A188" s="1696"/>
      <c r="B188" s="1697"/>
      <c r="C188" s="1697"/>
      <c r="D188" s="1698"/>
      <c r="E188" s="510"/>
      <c r="F188" s="510"/>
      <c r="G188" s="517"/>
      <c r="H188" s="517"/>
      <c r="I188" s="517"/>
      <c r="J188" s="518" t="s">
        <v>37</v>
      </c>
      <c r="K188" s="519">
        <f>+K186/H173</f>
        <v>770273.55605843477</v>
      </c>
      <c r="L188" s="428" t="s">
        <v>78</v>
      </c>
      <c r="M188" s="50"/>
      <c r="N188" s="50"/>
      <c r="T188" s="10"/>
      <c r="U188" s="10"/>
    </row>
    <row r="189" spans="1:23" ht="30" customHeight="1" thickBot="1" x14ac:dyDescent="0.4">
      <c r="A189" s="1183"/>
      <c r="B189" s="1183"/>
      <c r="C189" s="1183"/>
      <c r="D189" s="1183"/>
      <c r="E189" s="488"/>
      <c r="F189" s="441"/>
      <c r="G189" s="1191" t="s">
        <v>3000</v>
      </c>
      <c r="H189" s="1192"/>
      <c r="I189" s="1193"/>
      <c r="J189" s="570">
        <v>1.0438745311870332</v>
      </c>
      <c r="K189" s="1184">
        <f>+K188*J189</f>
        <v>804068.94721626758</v>
      </c>
      <c r="L189" s="486" t="s">
        <v>78</v>
      </c>
      <c r="M189" s="50"/>
      <c r="N189" s="97"/>
      <c r="O189" s="491"/>
      <c r="T189" s="10"/>
      <c r="U189" s="10"/>
    </row>
    <row r="190" spans="1:23" ht="30" customHeight="1" thickBot="1" x14ac:dyDescent="0.4">
      <c r="A190" s="1199"/>
      <c r="B190" s="1200"/>
      <c r="C190" s="1200"/>
      <c r="D190" s="1200"/>
      <c r="E190" s="1200"/>
      <c r="F190" s="1200"/>
      <c r="G190" s="1200"/>
      <c r="H190" s="1200"/>
      <c r="I190" s="1200"/>
      <c r="J190" s="1200"/>
      <c r="K190" s="1200"/>
      <c r="L190" s="1201"/>
      <c r="M190" s="97"/>
      <c r="N190" s="96"/>
      <c r="O190" s="384"/>
      <c r="P190" s="9"/>
      <c r="Q190" s="34"/>
      <c r="R190" s="5"/>
      <c r="S190" s="35"/>
    </row>
    <row r="191" spans="1:23" ht="30" customHeight="1" x14ac:dyDescent="0.35">
      <c r="A191" s="388" t="s">
        <v>1</v>
      </c>
      <c r="B191" s="389">
        <v>1231</v>
      </c>
      <c r="C191" s="1205" t="s">
        <v>105</v>
      </c>
      <c r="D191" s="1206"/>
      <c r="E191" s="392" t="s">
        <v>3</v>
      </c>
      <c r="F191" s="393" t="s">
        <v>78</v>
      </c>
      <c r="G191" s="520" t="s">
        <v>2</v>
      </c>
      <c r="H191" s="330">
        <v>2</v>
      </c>
      <c r="I191" s="392" t="s">
        <v>5</v>
      </c>
      <c r="J191" s="1304" t="s">
        <v>101</v>
      </c>
      <c r="K191" s="1305"/>
      <c r="L191" s="1306"/>
      <c r="M191" s="99"/>
      <c r="N191" s="96"/>
      <c r="O191" s="384"/>
      <c r="P191" s="9"/>
      <c r="Q191" s="34"/>
      <c r="R191" s="5"/>
      <c r="S191" s="35"/>
    </row>
    <row r="192" spans="1:23" ht="30" customHeight="1" x14ac:dyDescent="0.35">
      <c r="A192" s="474" t="s">
        <v>6</v>
      </c>
      <c r="B192" s="1334" t="s">
        <v>7</v>
      </c>
      <c r="C192" s="1335"/>
      <c r="D192" s="1336"/>
      <c r="E192" s="475" t="s">
        <v>8</v>
      </c>
      <c r="F192" s="476" t="s">
        <v>9</v>
      </c>
      <c r="G192" s="477" t="s">
        <v>10</v>
      </c>
      <c r="H192" s="478" t="s">
        <v>11</v>
      </c>
      <c r="I192" s="478" t="s">
        <v>12</v>
      </c>
      <c r="J192" s="479" t="s">
        <v>2739</v>
      </c>
      <c r="K192" s="474" t="s">
        <v>13</v>
      </c>
      <c r="L192" s="480" t="s">
        <v>39</v>
      </c>
      <c r="M192" s="50"/>
      <c r="N192" s="96"/>
      <c r="O192" s="384"/>
      <c r="P192" s="9"/>
      <c r="Q192" s="34"/>
      <c r="R192" s="5"/>
      <c r="S192" s="35"/>
    </row>
    <row r="193" spans="1:21" ht="30" customHeight="1" x14ac:dyDescent="0.35">
      <c r="A193" s="481" t="s">
        <v>106</v>
      </c>
      <c r="B193" s="1386" t="s">
        <v>107</v>
      </c>
      <c r="C193" s="1327"/>
      <c r="D193" s="1328"/>
      <c r="E193" s="482">
        <v>1600</v>
      </c>
      <c r="F193" s="483" t="s">
        <v>108</v>
      </c>
      <c r="G193" s="483">
        <v>9849.5764494381001</v>
      </c>
      <c r="H193" s="483">
        <v>11346.5820566364</v>
      </c>
      <c r="I193" s="483">
        <v>2681.0497666361398</v>
      </c>
      <c r="J193" s="483">
        <v>0</v>
      </c>
      <c r="K193" s="484">
        <f>+I193+H193+G193</f>
        <v>23877.208272710639</v>
      </c>
      <c r="L193" s="483" t="s">
        <v>108</v>
      </c>
      <c r="M193" s="50"/>
      <c r="N193" s="96"/>
      <c r="O193" s="384"/>
      <c r="P193" s="9"/>
      <c r="Q193" s="34"/>
      <c r="R193" s="5"/>
      <c r="S193" s="35"/>
    </row>
    <row r="194" spans="1:21" ht="30" customHeight="1" x14ac:dyDescent="0.35">
      <c r="A194" s="481" t="s">
        <v>102</v>
      </c>
      <c r="B194" s="1386" t="s">
        <v>103</v>
      </c>
      <c r="C194" s="1327"/>
      <c r="D194" s="1328"/>
      <c r="E194" s="482">
        <v>2</v>
      </c>
      <c r="F194" s="483" t="s">
        <v>40</v>
      </c>
      <c r="G194" s="483">
        <v>140392.483467307</v>
      </c>
      <c r="H194" s="483">
        <v>14569.043732562701</v>
      </c>
      <c r="I194" s="483">
        <v>3523.2669179326099</v>
      </c>
      <c r="J194" s="483">
        <v>0</v>
      </c>
      <c r="K194" s="484">
        <f>+I194+H194+G194</f>
        <v>158484.79411780232</v>
      </c>
      <c r="L194" s="483" t="s">
        <v>40</v>
      </c>
      <c r="M194" s="50"/>
      <c r="N194" s="96"/>
      <c r="O194" s="384"/>
      <c r="P194" s="9"/>
      <c r="Q194" s="34"/>
      <c r="R194" s="5"/>
      <c r="S194" s="35"/>
    </row>
    <row r="195" spans="1:21" ht="30" customHeight="1" x14ac:dyDescent="0.35">
      <c r="A195" s="481" t="s">
        <v>109</v>
      </c>
      <c r="B195" s="1386" t="s">
        <v>110</v>
      </c>
      <c r="C195" s="1327"/>
      <c r="D195" s="1328"/>
      <c r="E195" s="482">
        <v>4</v>
      </c>
      <c r="F195" s="483" t="s">
        <v>40</v>
      </c>
      <c r="G195" s="483">
        <v>13216.3764844488</v>
      </c>
      <c r="H195" s="483">
        <v>23763.694204022198</v>
      </c>
      <c r="I195" s="483">
        <v>0</v>
      </c>
      <c r="J195" s="483">
        <v>0</v>
      </c>
      <c r="K195" s="484">
        <f>+I195+H195+G195</f>
        <v>36980.070688470994</v>
      </c>
      <c r="L195" s="483" t="s">
        <v>40</v>
      </c>
      <c r="M195" s="50"/>
      <c r="N195" s="50"/>
      <c r="O195" s="384"/>
      <c r="P195" s="9"/>
      <c r="Q195" s="34"/>
      <c r="R195" s="5"/>
      <c r="S195" s="35"/>
    </row>
    <row r="196" spans="1:21" ht="30" customHeight="1" x14ac:dyDescent="0.35">
      <c r="A196" s="481" t="s">
        <v>104</v>
      </c>
      <c r="B196" s="1386" t="s">
        <v>111</v>
      </c>
      <c r="C196" s="1327"/>
      <c r="D196" s="1328"/>
      <c r="E196" s="482">
        <v>2</v>
      </c>
      <c r="F196" s="483" t="s">
        <v>40</v>
      </c>
      <c r="G196" s="483">
        <v>71383.249948681201</v>
      </c>
      <c r="H196" s="483">
        <v>6602.9243560344403</v>
      </c>
      <c r="I196" s="483">
        <v>0</v>
      </c>
      <c r="J196" s="483">
        <v>0</v>
      </c>
      <c r="K196" s="484">
        <f>+I196+H196+G196</f>
        <v>77986.174304715649</v>
      </c>
      <c r="L196" s="483" t="s">
        <v>40</v>
      </c>
      <c r="M196" s="50"/>
      <c r="N196" s="50"/>
      <c r="P196" s="9"/>
      <c r="Q196" s="34"/>
      <c r="R196" s="5"/>
      <c r="S196" s="35"/>
    </row>
    <row r="197" spans="1:21" ht="30" customHeight="1" x14ac:dyDescent="0.35">
      <c r="A197" s="1353" t="s">
        <v>2733</v>
      </c>
      <c r="B197" s="1354"/>
      <c r="C197" s="1354"/>
      <c r="D197" s="1354"/>
      <c r="E197" s="485"/>
      <c r="F197" s="485"/>
      <c r="G197" s="485"/>
      <c r="H197" s="485"/>
      <c r="I197" s="485"/>
      <c r="J197" s="515" t="s">
        <v>47</v>
      </c>
      <c r="K197" s="487">
        <f>SUM(K193:K196)</f>
        <v>297328.24738369964</v>
      </c>
      <c r="L197" s="483" t="s">
        <v>31</v>
      </c>
      <c r="M197" s="96"/>
      <c r="N197" s="50"/>
      <c r="T197" s="53"/>
      <c r="U197" s="53"/>
    </row>
    <row r="198" spans="1:21" s="396" customFormat="1" ht="30" customHeight="1" thickBot="1" x14ac:dyDescent="0.4">
      <c r="A198" s="1355"/>
      <c r="B198" s="1355"/>
      <c r="C198" s="1355"/>
      <c r="D198" s="1355"/>
      <c r="E198" s="488"/>
      <c r="F198" s="441"/>
      <c r="G198" s="1387"/>
      <c r="H198" s="1388"/>
      <c r="I198" s="441"/>
      <c r="J198" s="489" t="s">
        <v>37</v>
      </c>
      <c r="K198" s="521">
        <f>K197/H191</f>
        <v>148664.12369184982</v>
      </c>
      <c r="L198" s="483" t="s">
        <v>78</v>
      </c>
      <c r="M198" s="50"/>
      <c r="N198" s="50"/>
      <c r="O198" s="384"/>
      <c r="P198" s="384"/>
    </row>
    <row r="199" spans="1:21" ht="30" customHeight="1" thickBot="1" x14ac:dyDescent="0.4">
      <c r="A199" s="1183"/>
      <c r="B199" s="1183"/>
      <c r="C199" s="1183"/>
      <c r="D199" s="1183"/>
      <c r="E199" s="488"/>
      <c r="F199" s="441"/>
      <c r="G199" s="1191" t="s">
        <v>3000</v>
      </c>
      <c r="H199" s="1192"/>
      <c r="I199" s="1193"/>
      <c r="J199" s="570">
        <v>1.0438745311870332</v>
      </c>
      <c r="K199" s="1184">
        <f>+K198*J199</f>
        <v>155186.69242316086</v>
      </c>
      <c r="L199" s="486" t="s">
        <v>78</v>
      </c>
      <c r="M199" s="50"/>
      <c r="N199" s="97"/>
      <c r="O199" s="491"/>
      <c r="T199" s="10"/>
      <c r="U199" s="10"/>
    </row>
    <row r="200" spans="1:21" ht="30" customHeight="1" thickBot="1" x14ac:dyDescent="0.4">
      <c r="A200" s="1199"/>
      <c r="B200" s="1200"/>
      <c r="C200" s="1200"/>
      <c r="D200" s="1200"/>
      <c r="E200" s="1200"/>
      <c r="F200" s="1200"/>
      <c r="G200" s="1200"/>
      <c r="H200" s="1200"/>
      <c r="I200" s="1200"/>
      <c r="J200" s="1200"/>
      <c r="K200" s="1200"/>
      <c r="L200" s="1201"/>
      <c r="M200" s="97"/>
      <c r="N200" s="96"/>
      <c r="O200" s="384"/>
      <c r="P200" s="9"/>
      <c r="Q200" s="34"/>
      <c r="R200" s="5"/>
      <c r="S200" s="35"/>
    </row>
    <row r="201" spans="1:21" ht="30" customHeight="1" x14ac:dyDescent="0.35">
      <c r="A201" s="388" t="s">
        <v>1</v>
      </c>
      <c r="B201" s="389">
        <v>1241</v>
      </c>
      <c r="C201" s="1205" t="s">
        <v>112</v>
      </c>
      <c r="D201" s="1206"/>
      <c r="E201" s="392" t="s">
        <v>3</v>
      </c>
      <c r="F201" s="393" t="s">
        <v>113</v>
      </c>
      <c r="G201" s="394" t="s">
        <v>2</v>
      </c>
      <c r="H201" s="132">
        <v>420000</v>
      </c>
      <c r="I201" s="392" t="s">
        <v>5</v>
      </c>
      <c r="J201" s="1304" t="s">
        <v>101</v>
      </c>
      <c r="K201" s="1305"/>
      <c r="L201" s="1306"/>
      <c r="M201" s="99"/>
      <c r="N201" s="96"/>
      <c r="O201" s="384"/>
      <c r="P201" s="9"/>
      <c r="Q201" s="34"/>
      <c r="R201" s="5"/>
      <c r="S201" s="35"/>
    </row>
    <row r="202" spans="1:21" ht="30" customHeight="1" x14ac:dyDescent="0.35">
      <c r="A202" s="474" t="s">
        <v>6</v>
      </c>
      <c r="B202" s="1334" t="s">
        <v>7</v>
      </c>
      <c r="C202" s="1335"/>
      <c r="D202" s="1336"/>
      <c r="E202" s="475" t="s">
        <v>8</v>
      </c>
      <c r="F202" s="476" t="s">
        <v>9</v>
      </c>
      <c r="G202" s="477" t="s">
        <v>10</v>
      </c>
      <c r="H202" s="478" t="s">
        <v>11</v>
      </c>
      <c r="I202" s="478" t="s">
        <v>12</v>
      </c>
      <c r="J202" s="479" t="s">
        <v>2739</v>
      </c>
      <c r="K202" s="474" t="s">
        <v>13</v>
      </c>
      <c r="L202" s="480" t="s">
        <v>39</v>
      </c>
      <c r="M202" s="50"/>
      <c r="N202" s="96"/>
      <c r="O202" s="384"/>
      <c r="P202" s="9"/>
      <c r="Q202" s="34"/>
      <c r="R202" s="5"/>
      <c r="S202" s="35"/>
    </row>
    <row r="203" spans="1:21" ht="30" customHeight="1" x14ac:dyDescent="0.35">
      <c r="A203" s="481" t="s">
        <v>114</v>
      </c>
      <c r="B203" s="1326" t="s">
        <v>115</v>
      </c>
      <c r="C203" s="1327"/>
      <c r="D203" s="1328"/>
      <c r="E203" s="482">
        <v>1704</v>
      </c>
      <c r="F203" s="483" t="s">
        <v>16</v>
      </c>
      <c r="G203" s="483">
        <v>45163.3962003954</v>
      </c>
      <c r="H203" s="483">
        <v>3503.31826203331</v>
      </c>
      <c r="I203" s="483">
        <v>7389.8272022340398</v>
      </c>
      <c r="J203" s="483">
        <v>0</v>
      </c>
      <c r="K203" s="484">
        <f>+G203+H203+I203+J203</f>
        <v>56056.541664662749</v>
      </c>
      <c r="L203" s="483" t="s">
        <v>16</v>
      </c>
      <c r="M203" s="50"/>
      <c r="N203" s="96"/>
      <c r="O203" s="384"/>
      <c r="P203" s="9"/>
      <c r="Q203" s="34"/>
      <c r="R203" s="5"/>
      <c r="S203" s="35"/>
    </row>
    <row r="204" spans="1:21" ht="30" customHeight="1" x14ac:dyDescent="0.35">
      <c r="A204" s="481" t="s">
        <v>116</v>
      </c>
      <c r="B204" s="1326" t="s">
        <v>117</v>
      </c>
      <c r="C204" s="1327"/>
      <c r="D204" s="1328"/>
      <c r="E204" s="482">
        <v>50</v>
      </c>
      <c r="F204" s="483" t="s">
        <v>16</v>
      </c>
      <c r="G204" s="483">
        <v>24705.1287654033</v>
      </c>
      <c r="H204" s="483">
        <v>25923.087853602701</v>
      </c>
      <c r="I204" s="483">
        <v>1597.7880243366999</v>
      </c>
      <c r="J204" s="483">
        <v>0</v>
      </c>
      <c r="K204" s="484">
        <f t="shared" ref="K204:K211" si="1">+G204+H204+I204+J204</f>
        <v>52226.004643342705</v>
      </c>
      <c r="L204" s="483" t="s">
        <v>16</v>
      </c>
      <c r="M204" s="50"/>
      <c r="N204" s="96"/>
      <c r="O204" s="384"/>
      <c r="P204" s="9"/>
      <c r="Q204" s="34"/>
      <c r="R204" s="5"/>
      <c r="S204" s="35"/>
    </row>
    <row r="205" spans="1:21" ht="30" customHeight="1" x14ac:dyDescent="0.35">
      <c r="A205" s="481" t="s">
        <v>118</v>
      </c>
      <c r="B205" s="1326" t="s">
        <v>119</v>
      </c>
      <c r="C205" s="1327"/>
      <c r="D205" s="1328"/>
      <c r="E205" s="482">
        <v>389</v>
      </c>
      <c r="F205" s="483" t="s">
        <v>28</v>
      </c>
      <c r="G205" s="483">
        <v>24244.255022916601</v>
      </c>
      <c r="H205" s="483">
        <v>8803.4981826619696</v>
      </c>
      <c r="I205" s="483">
        <v>0</v>
      </c>
      <c r="J205" s="483">
        <v>0</v>
      </c>
      <c r="K205" s="484">
        <f t="shared" si="1"/>
        <v>33047.75320557857</v>
      </c>
      <c r="L205" s="483" t="s">
        <v>28</v>
      </c>
      <c r="M205" s="50"/>
      <c r="N205" s="96"/>
      <c r="O205" s="384"/>
      <c r="P205" s="9"/>
      <c r="Q205" s="34"/>
      <c r="R205" s="5"/>
      <c r="S205" s="35"/>
    </row>
    <row r="206" spans="1:21" ht="30" customHeight="1" x14ac:dyDescent="0.35">
      <c r="A206" s="481" t="s">
        <v>120</v>
      </c>
      <c r="B206" s="1326" t="s">
        <v>121</v>
      </c>
      <c r="C206" s="1327"/>
      <c r="D206" s="1328"/>
      <c r="E206" s="482">
        <v>2363.88</v>
      </c>
      <c r="F206" s="483" t="s">
        <v>28</v>
      </c>
      <c r="G206" s="483">
        <v>46272.556598649098</v>
      </c>
      <c r="H206" s="483">
        <v>35340.0893528784</v>
      </c>
      <c r="I206" s="483">
        <v>0</v>
      </c>
      <c r="J206" s="483">
        <v>0</v>
      </c>
      <c r="K206" s="484">
        <f t="shared" si="1"/>
        <v>81612.645951527491</v>
      </c>
      <c r="L206" s="483" t="s">
        <v>28</v>
      </c>
      <c r="M206" s="50"/>
      <c r="N206" s="96"/>
      <c r="O206" s="384"/>
      <c r="P206" s="9"/>
      <c r="Q206" s="34"/>
      <c r="R206" s="5"/>
      <c r="S206" s="35"/>
    </row>
    <row r="207" spans="1:21" ht="30" customHeight="1" x14ac:dyDescent="0.35">
      <c r="A207" s="481" t="s">
        <v>122</v>
      </c>
      <c r="B207" s="1326" t="s">
        <v>123</v>
      </c>
      <c r="C207" s="1327"/>
      <c r="D207" s="1328"/>
      <c r="E207" s="482">
        <v>21</v>
      </c>
      <c r="F207" s="483" t="s">
        <v>40</v>
      </c>
      <c r="G207" s="483">
        <v>14404.3964258739</v>
      </c>
      <c r="H207" s="483">
        <v>2960.2522745988899</v>
      </c>
      <c r="I207" s="483">
        <v>523.61560745328904</v>
      </c>
      <c r="J207" s="483">
        <v>0</v>
      </c>
      <c r="K207" s="484">
        <f t="shared" si="1"/>
        <v>17888.264307926078</v>
      </c>
      <c r="L207" s="483" t="s">
        <v>40</v>
      </c>
      <c r="M207" s="50"/>
      <c r="N207" s="50"/>
      <c r="O207" s="384"/>
      <c r="P207" s="9"/>
      <c r="Q207" s="34"/>
      <c r="R207" s="5"/>
      <c r="S207" s="35"/>
    </row>
    <row r="208" spans="1:21" ht="30" customHeight="1" x14ac:dyDescent="0.35">
      <c r="A208" s="481" t="s">
        <v>124</v>
      </c>
      <c r="B208" s="1326" t="s">
        <v>125</v>
      </c>
      <c r="C208" s="1327"/>
      <c r="D208" s="1328"/>
      <c r="E208" s="482">
        <v>1</v>
      </c>
      <c r="F208" s="483" t="s">
        <v>40</v>
      </c>
      <c r="G208" s="483">
        <v>0</v>
      </c>
      <c r="H208" s="483">
        <v>0</v>
      </c>
      <c r="I208" s="483">
        <v>0</v>
      </c>
      <c r="J208" s="483">
        <v>1834993.4241239999</v>
      </c>
      <c r="K208" s="484">
        <f t="shared" si="1"/>
        <v>1834993.4241239999</v>
      </c>
      <c r="L208" s="483" t="s">
        <v>40</v>
      </c>
      <c r="M208" s="50"/>
      <c r="N208" s="50"/>
      <c r="O208" s="384"/>
      <c r="P208" s="9"/>
      <c r="Q208" s="34"/>
      <c r="R208" s="5"/>
      <c r="S208" s="35"/>
    </row>
    <row r="209" spans="1:21" ht="30" customHeight="1" x14ac:dyDescent="0.35">
      <c r="A209" s="481" t="s">
        <v>126</v>
      </c>
      <c r="B209" s="1695" t="s">
        <v>127</v>
      </c>
      <c r="C209" s="1695"/>
      <c r="D209" s="1695"/>
      <c r="E209" s="482">
        <v>405.83</v>
      </c>
      <c r="F209" s="522" t="s">
        <v>28</v>
      </c>
      <c r="G209" s="483">
        <v>206472.20093003401</v>
      </c>
      <c r="H209" s="483">
        <v>22505.029227972998</v>
      </c>
      <c r="I209" s="483">
        <v>45013.838915732602</v>
      </c>
      <c r="J209" s="483">
        <v>0</v>
      </c>
      <c r="K209" s="484">
        <f t="shared" si="1"/>
        <v>273991.06907373958</v>
      </c>
      <c r="L209" s="483" t="s">
        <v>28</v>
      </c>
      <c r="M209" s="96"/>
      <c r="N209" s="50"/>
      <c r="O209" s="384"/>
      <c r="P209" s="9"/>
      <c r="Q209" s="34"/>
      <c r="R209" s="5"/>
      <c r="S209" s="35"/>
    </row>
    <row r="210" spans="1:21" ht="30" customHeight="1" x14ac:dyDescent="0.35">
      <c r="A210" s="481" t="s">
        <v>128</v>
      </c>
      <c r="B210" s="1695" t="s">
        <v>129</v>
      </c>
      <c r="C210" s="1695"/>
      <c r="D210" s="1695"/>
      <c r="E210" s="482">
        <v>7720.05</v>
      </c>
      <c r="F210" s="522" t="s">
        <v>108</v>
      </c>
      <c r="G210" s="483">
        <v>89645.607888434693</v>
      </c>
      <c r="H210" s="483">
        <v>65472.393896977999</v>
      </c>
      <c r="I210" s="483">
        <v>562.50955936949799</v>
      </c>
      <c r="J210" s="483">
        <v>0</v>
      </c>
      <c r="K210" s="484">
        <f t="shared" si="1"/>
        <v>155680.51134478219</v>
      </c>
      <c r="L210" s="483" t="s">
        <v>108</v>
      </c>
      <c r="M210" s="96"/>
      <c r="N210" s="50"/>
      <c r="O210" s="384"/>
      <c r="P210" s="9"/>
      <c r="Q210" s="34"/>
      <c r="R210" s="5"/>
      <c r="S210" s="35"/>
    </row>
    <row r="211" spans="1:21" ht="30" customHeight="1" x14ac:dyDescent="0.35">
      <c r="A211" s="481" t="s">
        <v>130</v>
      </c>
      <c r="B211" s="1695" t="s">
        <v>131</v>
      </c>
      <c r="C211" s="1695"/>
      <c r="D211" s="1695"/>
      <c r="E211" s="482">
        <v>2</v>
      </c>
      <c r="F211" s="522" t="s">
        <v>41</v>
      </c>
      <c r="G211" s="483">
        <v>7626.5583721121602</v>
      </c>
      <c r="H211" s="483">
        <v>1301.3734783997199</v>
      </c>
      <c r="I211" s="483">
        <v>482.45175842600202</v>
      </c>
      <c r="J211" s="483">
        <v>0</v>
      </c>
      <c r="K211" s="484">
        <f t="shared" si="1"/>
        <v>9410.3836089378819</v>
      </c>
      <c r="L211" s="483" t="s">
        <v>41</v>
      </c>
      <c r="M211" s="96"/>
      <c r="N211" s="50"/>
      <c r="P211" s="9"/>
      <c r="Q211" s="34"/>
      <c r="R211" s="5"/>
      <c r="S211" s="35"/>
    </row>
    <row r="212" spans="1:21" ht="30" customHeight="1" x14ac:dyDescent="0.35">
      <c r="A212" s="1353" t="s">
        <v>2733</v>
      </c>
      <c r="B212" s="1354"/>
      <c r="C212" s="1354"/>
      <c r="D212" s="1354"/>
      <c r="E212" s="485"/>
      <c r="F212" s="485"/>
      <c r="G212" s="485"/>
      <c r="H212" s="485"/>
      <c r="I212" s="485"/>
      <c r="J212" s="515" t="s">
        <v>47</v>
      </c>
      <c r="K212" s="487">
        <f>SUM(K203:K211)</f>
        <v>2514906.597924497</v>
      </c>
      <c r="L212" s="483"/>
      <c r="M212" s="96"/>
      <c r="T212" s="10"/>
      <c r="U212" s="10"/>
    </row>
    <row r="213" spans="1:21" s="396" customFormat="1" ht="30" customHeight="1" thickBot="1" x14ac:dyDescent="0.4">
      <c r="A213" s="1355"/>
      <c r="B213" s="1355"/>
      <c r="C213" s="1355"/>
      <c r="D213" s="1355"/>
      <c r="E213" s="488"/>
      <c r="F213" s="441"/>
      <c r="G213" s="1387"/>
      <c r="H213" s="1388"/>
      <c r="I213" s="441"/>
      <c r="J213" s="523" t="s">
        <v>37</v>
      </c>
      <c r="K213" s="524">
        <f>+K212/H201</f>
        <v>5.9878728522011837</v>
      </c>
      <c r="L213" s="525" t="s">
        <v>113</v>
      </c>
      <c r="M213" s="50"/>
      <c r="N213" s="50"/>
      <c r="O213" s="384"/>
      <c r="P213" s="384"/>
    </row>
    <row r="214" spans="1:21" ht="30" customHeight="1" thickBot="1" x14ac:dyDescent="0.4">
      <c r="A214" s="1183"/>
      <c r="B214" s="1183"/>
      <c r="C214" s="1183"/>
      <c r="D214" s="1183"/>
      <c r="E214" s="488"/>
      <c r="F214" s="441"/>
      <c r="G214" s="1191" t="s">
        <v>3000</v>
      </c>
      <c r="H214" s="1192"/>
      <c r="I214" s="1193"/>
      <c r="J214" s="570">
        <v>1.0438745311870332</v>
      </c>
      <c r="K214" s="1184">
        <f>+K213*J214</f>
        <v>6.250587966399074</v>
      </c>
      <c r="L214" s="486" t="s">
        <v>113</v>
      </c>
      <c r="M214" s="50"/>
      <c r="N214" s="97"/>
      <c r="O214" s="491"/>
      <c r="T214" s="10"/>
      <c r="U214" s="10"/>
    </row>
    <row r="215" spans="1:21" ht="30" customHeight="1" thickBot="1" x14ac:dyDescent="0.4">
      <c r="A215" s="1199"/>
      <c r="B215" s="1200"/>
      <c r="C215" s="1200"/>
      <c r="D215" s="1200"/>
      <c r="E215" s="1200"/>
      <c r="F215" s="1200"/>
      <c r="G215" s="1200"/>
      <c r="H215" s="1200"/>
      <c r="I215" s="1200"/>
      <c r="J215" s="1200"/>
      <c r="K215" s="1200"/>
      <c r="L215" s="1201"/>
      <c r="M215" s="97"/>
      <c r="N215" s="96"/>
      <c r="O215" s="384"/>
      <c r="P215" s="9"/>
      <c r="Q215" s="34"/>
      <c r="R215" s="5"/>
      <c r="S215" s="35"/>
    </row>
    <row r="216" spans="1:21" ht="30" customHeight="1" x14ac:dyDescent="0.35">
      <c r="A216" s="388" t="s">
        <v>1</v>
      </c>
      <c r="B216" s="389">
        <v>1242</v>
      </c>
      <c r="C216" s="1290" t="s">
        <v>132</v>
      </c>
      <c r="D216" s="1291"/>
      <c r="E216" s="392" t="s">
        <v>3</v>
      </c>
      <c r="F216" s="393" t="s">
        <v>113</v>
      </c>
      <c r="G216" s="394" t="s">
        <v>2</v>
      </c>
      <c r="H216" s="132">
        <v>105000</v>
      </c>
      <c r="I216" s="392" t="s">
        <v>5</v>
      </c>
      <c r="J216" s="1304" t="s">
        <v>101</v>
      </c>
      <c r="K216" s="1305"/>
      <c r="L216" s="1306"/>
      <c r="M216" s="99"/>
      <c r="N216" s="96"/>
      <c r="O216" s="384"/>
      <c r="P216" s="9"/>
      <c r="Q216" s="34"/>
      <c r="R216" s="5"/>
      <c r="S216" s="35"/>
    </row>
    <row r="217" spans="1:21" ht="30" customHeight="1" x14ac:dyDescent="0.35">
      <c r="A217" s="474" t="s">
        <v>6</v>
      </c>
      <c r="B217" s="1334" t="s">
        <v>7</v>
      </c>
      <c r="C217" s="1335"/>
      <c r="D217" s="1336"/>
      <c r="E217" s="475" t="s">
        <v>8</v>
      </c>
      <c r="F217" s="476" t="s">
        <v>9</v>
      </c>
      <c r="G217" s="477" t="s">
        <v>10</v>
      </c>
      <c r="H217" s="478" t="s">
        <v>11</v>
      </c>
      <c r="I217" s="478" t="s">
        <v>12</v>
      </c>
      <c r="J217" s="479" t="s">
        <v>2739</v>
      </c>
      <c r="K217" s="474" t="s">
        <v>13</v>
      </c>
      <c r="L217" s="480" t="s">
        <v>39</v>
      </c>
      <c r="M217" s="50"/>
      <c r="N217" s="96"/>
      <c r="O217" s="384"/>
      <c r="P217" s="9"/>
      <c r="Q217" s="34"/>
      <c r="R217" s="5"/>
      <c r="S217" s="35"/>
    </row>
    <row r="218" spans="1:21" ht="30" customHeight="1" x14ac:dyDescent="0.35">
      <c r="A218" s="481" t="s">
        <v>114</v>
      </c>
      <c r="B218" s="1386" t="s">
        <v>115</v>
      </c>
      <c r="C218" s="1327"/>
      <c r="D218" s="1328"/>
      <c r="E218" s="482">
        <v>746</v>
      </c>
      <c r="F218" s="483" t="s">
        <v>16</v>
      </c>
      <c r="G218" s="483">
        <v>17618.825947651101</v>
      </c>
      <c r="H218" s="483">
        <v>2112.9308216250502</v>
      </c>
      <c r="I218" s="483">
        <v>2185.45311759788</v>
      </c>
      <c r="J218" s="483">
        <v>0</v>
      </c>
      <c r="K218" s="484">
        <f>+G218+H218+I218+J218</f>
        <v>21917.209886874032</v>
      </c>
      <c r="L218" s="483" t="s">
        <v>16</v>
      </c>
      <c r="M218" s="50"/>
      <c r="N218" s="96"/>
      <c r="O218" s="384"/>
      <c r="P218" s="9"/>
      <c r="Q218" s="34"/>
      <c r="R218" s="5"/>
      <c r="S218" s="35"/>
    </row>
    <row r="219" spans="1:21" ht="30" customHeight="1" x14ac:dyDescent="0.35">
      <c r="A219" s="481" t="s">
        <v>116</v>
      </c>
      <c r="B219" s="1326" t="s">
        <v>117</v>
      </c>
      <c r="C219" s="1327"/>
      <c r="D219" s="1328"/>
      <c r="E219" s="482">
        <v>22</v>
      </c>
      <c r="F219" s="483" t="s">
        <v>16</v>
      </c>
      <c r="G219" s="483">
        <v>10938.8136761225</v>
      </c>
      <c r="H219" s="483">
        <v>16387.008106212299</v>
      </c>
      <c r="I219" s="483">
        <v>532.12861363385503</v>
      </c>
      <c r="J219" s="483">
        <v>0</v>
      </c>
      <c r="K219" s="484">
        <f t="shared" ref="K219:K227" si="2">+G219+H219+I219+J219</f>
        <v>27857.950395968655</v>
      </c>
      <c r="L219" s="483" t="s">
        <v>16</v>
      </c>
      <c r="M219" s="50"/>
      <c r="N219" s="96"/>
      <c r="O219" s="384"/>
      <c r="P219" s="9"/>
      <c r="Q219" s="34"/>
      <c r="R219" s="5"/>
      <c r="S219" s="35"/>
    </row>
    <row r="220" spans="1:21" ht="30" customHeight="1" x14ac:dyDescent="0.35">
      <c r="A220" s="481" t="s">
        <v>118</v>
      </c>
      <c r="B220" s="1326" t="s">
        <v>119</v>
      </c>
      <c r="C220" s="1327"/>
      <c r="D220" s="1328"/>
      <c r="E220" s="482">
        <v>172</v>
      </c>
      <c r="F220" s="483" t="s">
        <v>28</v>
      </c>
      <c r="G220" s="483">
        <v>4175.0896757093997</v>
      </c>
      <c r="H220" s="483">
        <v>6533.9433315430597</v>
      </c>
      <c r="I220" s="483">
        <v>0</v>
      </c>
      <c r="J220" s="483">
        <v>0</v>
      </c>
      <c r="K220" s="484">
        <f t="shared" si="2"/>
        <v>10709.033007252459</v>
      </c>
      <c r="L220" s="483" t="s">
        <v>28</v>
      </c>
      <c r="M220" s="50"/>
      <c r="N220" s="96"/>
      <c r="O220" s="384"/>
      <c r="P220" s="9"/>
      <c r="Q220" s="34"/>
      <c r="R220" s="5"/>
      <c r="S220" s="35"/>
    </row>
    <row r="221" spans="1:21" ht="30" customHeight="1" x14ac:dyDescent="0.35">
      <c r="A221" s="481" t="s">
        <v>120</v>
      </c>
      <c r="B221" s="1326" t="s">
        <v>121</v>
      </c>
      <c r="C221" s="1327"/>
      <c r="D221" s="1328"/>
      <c r="E221" s="482">
        <v>631.79</v>
      </c>
      <c r="F221" s="483" t="s">
        <v>28</v>
      </c>
      <c r="G221" s="483">
        <v>9968.3542967481808</v>
      </c>
      <c r="H221" s="483">
        <v>13810.171070096299</v>
      </c>
      <c r="I221" s="483">
        <v>0</v>
      </c>
      <c r="J221" s="483">
        <v>0</v>
      </c>
      <c r="K221" s="484">
        <f t="shared" si="2"/>
        <v>23778.525366844478</v>
      </c>
      <c r="L221" s="483" t="s">
        <v>28</v>
      </c>
      <c r="M221" s="50"/>
      <c r="N221" s="96"/>
      <c r="O221" s="384"/>
      <c r="P221" s="9"/>
      <c r="Q221" s="34"/>
      <c r="R221" s="5"/>
      <c r="S221" s="35"/>
    </row>
    <row r="222" spans="1:21" ht="30" customHeight="1" x14ac:dyDescent="0.35">
      <c r="A222" s="481" t="s">
        <v>122</v>
      </c>
      <c r="B222" s="1326" t="s">
        <v>123</v>
      </c>
      <c r="C222" s="1327"/>
      <c r="D222" s="1328"/>
      <c r="E222" s="482">
        <v>9</v>
      </c>
      <c r="F222" s="483" t="s">
        <v>40</v>
      </c>
      <c r="G222" s="483">
        <v>6420.1844484512203</v>
      </c>
      <c r="H222" s="483">
        <v>1319.5061203052901</v>
      </c>
      <c r="I222" s="483">
        <v>233.46354195003099</v>
      </c>
      <c r="J222" s="483">
        <v>0</v>
      </c>
      <c r="K222" s="484">
        <f t="shared" si="2"/>
        <v>7973.1541107065414</v>
      </c>
      <c r="L222" s="483" t="s">
        <v>40</v>
      </c>
      <c r="M222" s="50"/>
      <c r="N222" s="50"/>
      <c r="O222" s="384"/>
      <c r="P222" s="9"/>
      <c r="Q222" s="34"/>
      <c r="R222" s="5"/>
      <c r="S222" s="35"/>
    </row>
    <row r="223" spans="1:21" ht="30" customHeight="1" x14ac:dyDescent="0.35">
      <c r="A223" s="481" t="s">
        <v>2740</v>
      </c>
      <c r="B223" s="1386" t="s">
        <v>2742</v>
      </c>
      <c r="C223" s="1327"/>
      <c r="D223" s="1328"/>
      <c r="E223" s="482">
        <v>1</v>
      </c>
      <c r="F223" s="483" t="s">
        <v>40</v>
      </c>
      <c r="G223" s="483">
        <v>0</v>
      </c>
      <c r="H223" s="483">
        <v>0</v>
      </c>
      <c r="I223" s="483">
        <v>0</v>
      </c>
      <c r="J223" s="483">
        <v>372317.50634399999</v>
      </c>
      <c r="K223" s="484">
        <f t="shared" si="2"/>
        <v>372317.50634399999</v>
      </c>
      <c r="L223" s="483" t="s">
        <v>40</v>
      </c>
      <c r="M223" s="50"/>
      <c r="N223" s="50"/>
      <c r="O223" s="384"/>
      <c r="P223" s="9"/>
      <c r="Q223" s="34"/>
      <c r="R223" s="5"/>
      <c r="S223" s="35"/>
    </row>
    <row r="224" spans="1:21" ht="30" customHeight="1" x14ac:dyDescent="0.35">
      <c r="A224" s="481" t="s">
        <v>126</v>
      </c>
      <c r="B224" s="1695" t="s">
        <v>127</v>
      </c>
      <c r="C224" s="1695"/>
      <c r="D224" s="1695"/>
      <c r="E224" s="482">
        <v>202.91</v>
      </c>
      <c r="F224" s="522" t="s">
        <v>28</v>
      </c>
      <c r="G224" s="483">
        <v>88510.627735809205</v>
      </c>
      <c r="H224" s="483">
        <v>15530.3723397706</v>
      </c>
      <c r="I224" s="483">
        <v>17172.635678264</v>
      </c>
      <c r="J224" s="483">
        <v>0</v>
      </c>
      <c r="K224" s="484">
        <f t="shared" si="2"/>
        <v>121213.63575384382</v>
      </c>
      <c r="L224" s="483" t="s">
        <v>28</v>
      </c>
      <c r="M224" s="96"/>
      <c r="N224" s="50"/>
      <c r="O224" s="384"/>
      <c r="P224" s="9"/>
      <c r="Q224" s="34"/>
      <c r="R224" s="5"/>
      <c r="S224" s="35"/>
    </row>
    <row r="225" spans="1:21" ht="30" customHeight="1" x14ac:dyDescent="0.35">
      <c r="A225" s="481" t="s">
        <v>128</v>
      </c>
      <c r="B225" s="1695" t="s">
        <v>129</v>
      </c>
      <c r="C225" s="1695"/>
      <c r="D225" s="1695"/>
      <c r="E225" s="482">
        <v>1930.01</v>
      </c>
      <c r="F225" s="522" t="s">
        <v>108</v>
      </c>
      <c r="G225" s="483">
        <v>24500.568724710502</v>
      </c>
      <c r="H225" s="483">
        <v>22992.506251044299</v>
      </c>
      <c r="I225" s="483">
        <v>144.976502766724</v>
      </c>
      <c r="J225" s="483">
        <v>0</v>
      </c>
      <c r="K225" s="484">
        <f t="shared" si="2"/>
        <v>47638.051478521527</v>
      </c>
      <c r="L225" s="483" t="s">
        <v>108</v>
      </c>
      <c r="M225" s="96"/>
      <c r="N225" s="50"/>
      <c r="O225" s="384"/>
      <c r="P225" s="9"/>
      <c r="Q225" s="34"/>
      <c r="R225" s="5"/>
      <c r="S225" s="35"/>
    </row>
    <row r="226" spans="1:21" ht="30" customHeight="1" x14ac:dyDescent="0.35">
      <c r="A226" s="481" t="s">
        <v>130</v>
      </c>
      <c r="B226" s="1695" t="s">
        <v>131</v>
      </c>
      <c r="C226" s="1695"/>
      <c r="D226" s="1695"/>
      <c r="E226" s="482">
        <v>0.5</v>
      </c>
      <c r="F226" s="522" t="s">
        <v>41</v>
      </c>
      <c r="G226" s="483">
        <v>2029.6485990298499</v>
      </c>
      <c r="H226" s="483">
        <v>471.53171406606998</v>
      </c>
      <c r="I226" s="483">
        <v>83.079368531767898</v>
      </c>
      <c r="J226" s="483">
        <v>0</v>
      </c>
      <c r="K226" s="484">
        <f t="shared" si="2"/>
        <v>2584.2596816276878</v>
      </c>
      <c r="L226" s="483" t="s">
        <v>41</v>
      </c>
      <c r="M226" s="96"/>
      <c r="N226" s="50"/>
      <c r="O226" s="384"/>
      <c r="P226" s="9"/>
      <c r="Q226" s="34"/>
      <c r="R226" s="5"/>
      <c r="S226" s="35"/>
    </row>
    <row r="227" spans="1:21" ht="30" customHeight="1" x14ac:dyDescent="0.35">
      <c r="A227" s="481" t="s">
        <v>2741</v>
      </c>
      <c r="B227" s="1722" t="s">
        <v>2743</v>
      </c>
      <c r="C227" s="1695"/>
      <c r="D227" s="1695"/>
      <c r="E227" s="482">
        <v>2</v>
      </c>
      <c r="F227" s="522" t="s">
        <v>40</v>
      </c>
      <c r="G227" s="483">
        <v>150431.813739812</v>
      </c>
      <c r="H227" s="483">
        <v>22167.5471501518</v>
      </c>
      <c r="I227" s="483">
        <v>2730.8523958856899</v>
      </c>
      <c r="J227" s="526">
        <v>0</v>
      </c>
      <c r="K227" s="484">
        <f t="shared" si="2"/>
        <v>175330.21328584949</v>
      </c>
      <c r="L227" s="522" t="s">
        <v>40</v>
      </c>
      <c r="M227" s="96"/>
      <c r="N227" s="50"/>
      <c r="P227" s="9"/>
      <c r="Q227" s="34"/>
      <c r="R227" s="5"/>
      <c r="S227" s="35"/>
    </row>
    <row r="228" spans="1:21" ht="30" customHeight="1" x14ac:dyDescent="0.35">
      <c r="A228" s="1353" t="s">
        <v>2733</v>
      </c>
      <c r="B228" s="1354"/>
      <c r="C228" s="1354"/>
      <c r="D228" s="1354"/>
      <c r="E228" s="485"/>
      <c r="F228" s="485"/>
      <c r="G228" s="485"/>
      <c r="H228" s="485"/>
      <c r="I228" s="485"/>
      <c r="J228" s="515" t="s">
        <v>47</v>
      </c>
      <c r="K228" s="487">
        <f>SUM(K218:K227)</f>
        <v>811319.53931148862</v>
      </c>
      <c r="L228" s="486" t="s">
        <v>2428</v>
      </c>
      <c r="M228" s="96"/>
      <c r="T228" s="10"/>
      <c r="U228" s="10"/>
    </row>
    <row r="229" spans="1:21" s="396" customFormat="1" ht="30" customHeight="1" thickBot="1" x14ac:dyDescent="0.4">
      <c r="A229" s="1355"/>
      <c r="B229" s="1355"/>
      <c r="C229" s="1355"/>
      <c r="D229" s="1355"/>
      <c r="E229" s="488"/>
      <c r="F229" s="441"/>
      <c r="G229" s="1387"/>
      <c r="H229" s="1388"/>
      <c r="I229" s="441"/>
      <c r="J229" s="523" t="s">
        <v>37</v>
      </c>
      <c r="K229" s="524">
        <f>+K228/H216</f>
        <v>7.7268527553475108</v>
      </c>
      <c r="L229" s="525" t="s">
        <v>113</v>
      </c>
      <c r="M229" s="50"/>
      <c r="N229" s="50"/>
      <c r="O229" s="384"/>
      <c r="P229" s="384"/>
    </row>
    <row r="230" spans="1:21" ht="30" customHeight="1" thickBot="1" x14ac:dyDescent="0.4">
      <c r="A230" s="1183"/>
      <c r="B230" s="1183"/>
      <c r="C230" s="1183"/>
      <c r="D230" s="1183"/>
      <c r="E230" s="488"/>
      <c r="F230" s="441"/>
      <c r="G230" s="1191" t="s">
        <v>3000</v>
      </c>
      <c r="H230" s="1192"/>
      <c r="I230" s="1193"/>
      <c r="J230" s="570">
        <v>1.0438745311870332</v>
      </c>
      <c r="K230" s="1184">
        <f>+K229*J230</f>
        <v>8.0658647975396196</v>
      </c>
      <c r="L230" s="486" t="s">
        <v>113</v>
      </c>
      <c r="M230" s="50"/>
      <c r="N230" s="97"/>
      <c r="O230" s="491"/>
      <c r="T230" s="10"/>
      <c r="U230" s="10"/>
    </row>
    <row r="231" spans="1:21" ht="30" customHeight="1" thickBot="1" x14ac:dyDescent="0.4">
      <c r="A231" s="1199"/>
      <c r="B231" s="1200"/>
      <c r="C231" s="1200"/>
      <c r="D231" s="1200"/>
      <c r="E231" s="1200"/>
      <c r="F231" s="1200"/>
      <c r="G231" s="1200"/>
      <c r="H231" s="1200"/>
      <c r="I231" s="1200"/>
      <c r="J231" s="1200"/>
      <c r="K231" s="1200"/>
      <c r="L231" s="1201"/>
      <c r="M231" s="97"/>
      <c r="N231" s="96"/>
      <c r="O231" s="384"/>
      <c r="P231" s="9"/>
      <c r="Q231" s="34"/>
      <c r="R231" s="5"/>
      <c r="S231" s="35"/>
    </row>
    <row r="232" spans="1:21" ht="30" customHeight="1" x14ac:dyDescent="0.35">
      <c r="A232" s="388" t="s">
        <v>1</v>
      </c>
      <c r="B232" s="389">
        <v>1243</v>
      </c>
      <c r="C232" s="1290" t="s">
        <v>133</v>
      </c>
      <c r="D232" s="1291"/>
      <c r="E232" s="392" t="s">
        <v>3</v>
      </c>
      <c r="F232" s="393" t="s">
        <v>113</v>
      </c>
      <c r="G232" s="394" t="s">
        <v>2</v>
      </c>
      <c r="H232" s="132">
        <v>10000</v>
      </c>
      <c r="I232" s="392" t="s">
        <v>5</v>
      </c>
      <c r="J232" s="1304" t="s">
        <v>101</v>
      </c>
      <c r="K232" s="1305"/>
      <c r="L232" s="1306"/>
      <c r="M232" s="99"/>
      <c r="N232" s="96"/>
      <c r="O232" s="384"/>
      <c r="P232" s="9"/>
      <c r="Q232" s="34"/>
      <c r="R232" s="5"/>
      <c r="S232" s="35"/>
    </row>
    <row r="233" spans="1:21" ht="30" customHeight="1" x14ac:dyDescent="0.35">
      <c r="A233" s="474" t="s">
        <v>6</v>
      </c>
      <c r="B233" s="1334" t="s">
        <v>7</v>
      </c>
      <c r="C233" s="1335"/>
      <c r="D233" s="1336"/>
      <c r="E233" s="475" t="s">
        <v>8</v>
      </c>
      <c r="F233" s="476" t="s">
        <v>9</v>
      </c>
      <c r="G233" s="477" t="s">
        <v>10</v>
      </c>
      <c r="H233" s="478" t="s">
        <v>11</v>
      </c>
      <c r="I233" s="478" t="s">
        <v>12</v>
      </c>
      <c r="J233" s="479" t="s">
        <v>2739</v>
      </c>
      <c r="K233" s="474" t="s">
        <v>13</v>
      </c>
      <c r="L233" s="480" t="s">
        <v>39</v>
      </c>
      <c r="M233" s="50"/>
      <c r="N233" s="96"/>
      <c r="O233" s="384"/>
      <c r="P233" s="9"/>
      <c r="Q233" s="34"/>
      <c r="R233" s="5"/>
      <c r="S233" s="35"/>
    </row>
    <row r="234" spans="1:21" ht="30" customHeight="1" x14ac:dyDescent="0.35">
      <c r="A234" s="481" t="s">
        <v>2744</v>
      </c>
      <c r="B234" s="1386" t="s">
        <v>2750</v>
      </c>
      <c r="C234" s="1327"/>
      <c r="D234" s="1328"/>
      <c r="E234" s="482">
        <v>50.4</v>
      </c>
      <c r="F234" s="483" t="s">
        <v>16</v>
      </c>
      <c r="G234" s="483">
        <v>1190.3335492783101</v>
      </c>
      <c r="H234" s="483">
        <v>142.75028607225499</v>
      </c>
      <c r="I234" s="483">
        <v>147.649915719749</v>
      </c>
      <c r="J234" s="483">
        <v>0</v>
      </c>
      <c r="K234" s="484">
        <f t="shared" ref="K234:K239" si="3">+G234+H234+I234+J234</f>
        <v>1480.7337510703142</v>
      </c>
      <c r="L234" s="483" t="s">
        <v>16</v>
      </c>
      <c r="M234" s="50"/>
      <c r="N234" s="96"/>
      <c r="O234" s="384"/>
      <c r="P234" s="9"/>
      <c r="Q234" s="34"/>
      <c r="R234" s="5"/>
      <c r="S234" s="35"/>
    </row>
    <row r="235" spans="1:21" ht="30" customHeight="1" x14ac:dyDescent="0.35">
      <c r="A235" s="481" t="s">
        <v>2745</v>
      </c>
      <c r="B235" s="1386" t="s">
        <v>2751</v>
      </c>
      <c r="C235" s="1327"/>
      <c r="D235" s="1328"/>
      <c r="E235" s="482">
        <v>13.5</v>
      </c>
      <c r="F235" s="483" t="s">
        <v>16</v>
      </c>
      <c r="G235" s="483">
        <v>3499.7046279562701</v>
      </c>
      <c r="H235" s="483">
        <v>3256.2476651214902</v>
      </c>
      <c r="I235" s="483">
        <v>326.53346745713799</v>
      </c>
      <c r="J235" s="483">
        <v>0</v>
      </c>
      <c r="K235" s="484">
        <f t="shared" si="3"/>
        <v>7082.485760534898</v>
      </c>
      <c r="L235" s="483" t="s">
        <v>16</v>
      </c>
      <c r="M235" s="50"/>
      <c r="N235" s="96"/>
      <c r="O235" s="384"/>
      <c r="P235" s="9"/>
      <c r="Q235" s="34"/>
      <c r="R235" s="5"/>
      <c r="S235" s="35"/>
    </row>
    <row r="236" spans="1:21" ht="30" customHeight="1" x14ac:dyDescent="0.35">
      <c r="A236" s="481" t="s">
        <v>2746</v>
      </c>
      <c r="B236" s="1386" t="s">
        <v>2752</v>
      </c>
      <c r="C236" s="1327"/>
      <c r="D236" s="1328"/>
      <c r="E236" s="482">
        <v>108</v>
      </c>
      <c r="F236" s="483" t="s">
        <v>28</v>
      </c>
      <c r="G236" s="483">
        <v>9388.0473380580497</v>
      </c>
      <c r="H236" s="483">
        <v>2204.301036840935</v>
      </c>
      <c r="I236" s="483">
        <v>0</v>
      </c>
      <c r="J236" s="483">
        <v>0</v>
      </c>
      <c r="K236" s="484">
        <f t="shared" si="3"/>
        <v>11592.348374898986</v>
      </c>
      <c r="L236" s="483" t="s">
        <v>28</v>
      </c>
      <c r="M236" s="50"/>
      <c r="N236" s="96"/>
      <c r="O236" s="384"/>
      <c r="P236" s="9"/>
      <c r="Q236" s="34"/>
      <c r="R236" s="5"/>
      <c r="S236" s="35"/>
    </row>
    <row r="237" spans="1:21" ht="30" customHeight="1" x14ac:dyDescent="0.35">
      <c r="A237" s="481" t="s">
        <v>2747</v>
      </c>
      <c r="B237" s="1386" t="s">
        <v>2753</v>
      </c>
      <c r="C237" s="1327"/>
      <c r="D237" s="1328"/>
      <c r="E237" s="482">
        <v>108.49</v>
      </c>
      <c r="F237" s="483" t="s">
        <v>28</v>
      </c>
      <c r="G237" s="483">
        <v>1147.6912472577201</v>
      </c>
      <c r="H237" s="483">
        <v>1871.8358281399501</v>
      </c>
      <c r="I237" s="483">
        <v>0</v>
      </c>
      <c r="J237" s="483">
        <v>0</v>
      </c>
      <c r="K237" s="484">
        <f t="shared" si="3"/>
        <v>3019.5270753976702</v>
      </c>
      <c r="L237" s="483" t="s">
        <v>28</v>
      </c>
      <c r="M237" s="50"/>
      <c r="N237" s="96"/>
      <c r="O237" s="384"/>
      <c r="P237" s="9"/>
      <c r="Q237" s="34"/>
      <c r="R237" s="5"/>
      <c r="S237" s="35"/>
    </row>
    <row r="238" spans="1:21" ht="30" customHeight="1" x14ac:dyDescent="0.35">
      <c r="A238" s="481" t="s">
        <v>2748</v>
      </c>
      <c r="B238" s="1386" t="s">
        <v>2754</v>
      </c>
      <c r="C238" s="1327"/>
      <c r="D238" s="1328"/>
      <c r="E238" s="482">
        <v>3</v>
      </c>
      <c r="F238" s="483" t="s">
        <v>40</v>
      </c>
      <c r="G238" s="483">
        <v>549.702646020884</v>
      </c>
      <c r="H238" s="483">
        <v>459.68342302529697</v>
      </c>
      <c r="I238" s="483">
        <v>0</v>
      </c>
      <c r="J238" s="483">
        <v>0</v>
      </c>
      <c r="K238" s="484">
        <f t="shared" si="3"/>
        <v>1009.386069046181</v>
      </c>
      <c r="L238" s="483" t="s">
        <v>40</v>
      </c>
      <c r="M238" s="50"/>
      <c r="N238" s="50"/>
      <c r="O238" s="384"/>
      <c r="P238" s="9"/>
      <c r="Q238" s="34"/>
      <c r="R238" s="5"/>
      <c r="S238" s="35"/>
    </row>
    <row r="239" spans="1:21" ht="30" customHeight="1" x14ac:dyDescent="0.35">
      <c r="A239" s="481" t="s">
        <v>2749</v>
      </c>
      <c r="B239" s="1386" t="s">
        <v>2755</v>
      </c>
      <c r="C239" s="1327"/>
      <c r="D239" s="1328"/>
      <c r="E239" s="482">
        <v>1</v>
      </c>
      <c r="F239" s="483" t="s">
        <v>40</v>
      </c>
      <c r="G239" s="483">
        <v>45431.326216668203</v>
      </c>
      <c r="H239" s="483">
        <v>2899.2422241265299</v>
      </c>
      <c r="I239" s="483">
        <v>0</v>
      </c>
      <c r="J239" s="483">
        <v>0</v>
      </c>
      <c r="K239" s="484">
        <f t="shared" si="3"/>
        <v>48330.568440794734</v>
      </c>
      <c r="L239" s="483" t="s">
        <v>40</v>
      </c>
      <c r="M239" s="50"/>
      <c r="N239" s="50"/>
      <c r="P239" s="9"/>
      <c r="Q239" s="34"/>
      <c r="R239" s="5"/>
      <c r="S239" s="35"/>
    </row>
    <row r="240" spans="1:21" ht="30" customHeight="1" x14ac:dyDescent="0.35">
      <c r="A240" s="1353" t="s">
        <v>2733</v>
      </c>
      <c r="B240" s="1354"/>
      <c r="C240" s="1354"/>
      <c r="D240" s="1354"/>
      <c r="E240" s="485"/>
      <c r="F240" s="485"/>
      <c r="G240" s="485"/>
      <c r="H240" s="485"/>
      <c r="I240" s="485"/>
      <c r="J240" s="515" t="s">
        <v>47</v>
      </c>
      <c r="K240" s="487">
        <f>SUM(K234:K239)</f>
        <v>72515.049471742779</v>
      </c>
      <c r="L240" s="486" t="s">
        <v>2428</v>
      </c>
      <c r="M240" s="96"/>
      <c r="T240" s="10"/>
      <c r="U240" s="10"/>
    </row>
    <row r="241" spans="1:21" s="396" customFormat="1" ht="30" customHeight="1" thickBot="1" x14ac:dyDescent="0.4">
      <c r="A241" s="1355"/>
      <c r="B241" s="1355"/>
      <c r="C241" s="1355"/>
      <c r="D241" s="1355"/>
      <c r="E241" s="488"/>
      <c r="F241" s="441"/>
      <c r="G241" s="1387"/>
      <c r="H241" s="1388"/>
      <c r="I241" s="441"/>
      <c r="J241" s="523" t="s">
        <v>37</v>
      </c>
      <c r="K241" s="524">
        <f>+K240/H232</f>
        <v>7.2515049471742783</v>
      </c>
      <c r="L241" s="525" t="s">
        <v>113</v>
      </c>
      <c r="M241" s="50"/>
      <c r="N241" s="50"/>
      <c r="O241" s="384"/>
      <c r="P241" s="384"/>
    </row>
    <row r="242" spans="1:21" ht="30" customHeight="1" thickBot="1" x14ac:dyDescent="0.4">
      <c r="A242" s="1183"/>
      <c r="B242" s="1183"/>
      <c r="C242" s="1183"/>
      <c r="D242" s="1183"/>
      <c r="E242" s="488"/>
      <c r="F242" s="441"/>
      <c r="G242" s="1191" t="s">
        <v>3000</v>
      </c>
      <c r="H242" s="1192"/>
      <c r="I242" s="1193"/>
      <c r="J242" s="570">
        <v>1.0438745311870332</v>
      </c>
      <c r="K242" s="1184">
        <f>+K241*J242</f>
        <v>7.5696613271320015</v>
      </c>
      <c r="L242" s="486" t="s">
        <v>113</v>
      </c>
      <c r="M242" s="50"/>
      <c r="N242" s="97"/>
      <c r="O242" s="491"/>
      <c r="T242" s="10"/>
      <c r="U242" s="10"/>
    </row>
    <row r="243" spans="1:21" ht="30" customHeight="1" thickBot="1" x14ac:dyDescent="0.4">
      <c r="A243" s="1199"/>
      <c r="B243" s="1200"/>
      <c r="C243" s="1200"/>
      <c r="D243" s="1200"/>
      <c r="E243" s="1200"/>
      <c r="F243" s="1200"/>
      <c r="G243" s="1200"/>
      <c r="H243" s="1200"/>
      <c r="I243" s="1200"/>
      <c r="J243" s="1200"/>
      <c r="K243" s="1200"/>
      <c r="L243" s="1201"/>
      <c r="M243" s="97"/>
      <c r="N243" s="96"/>
      <c r="O243" s="384"/>
      <c r="P243" s="9"/>
      <c r="Q243" s="34"/>
      <c r="R243" s="5"/>
      <c r="S243" s="35"/>
    </row>
    <row r="244" spans="1:21" ht="30" customHeight="1" x14ac:dyDescent="0.35">
      <c r="A244" s="388" t="s">
        <v>1</v>
      </c>
      <c r="B244" s="389">
        <v>1244</v>
      </c>
      <c r="C244" s="1290" t="s">
        <v>134</v>
      </c>
      <c r="D244" s="1291"/>
      <c r="E244" s="392" t="s">
        <v>3</v>
      </c>
      <c r="F244" s="393" t="s">
        <v>113</v>
      </c>
      <c r="G244" s="394" t="s">
        <v>2</v>
      </c>
      <c r="H244" s="132">
        <v>15000</v>
      </c>
      <c r="I244" s="392" t="s">
        <v>5</v>
      </c>
      <c r="J244" s="1304" t="s">
        <v>101</v>
      </c>
      <c r="K244" s="1305"/>
      <c r="L244" s="1306"/>
      <c r="M244" s="99"/>
      <c r="N244" s="96"/>
      <c r="O244" s="384"/>
      <c r="P244" s="9"/>
      <c r="Q244" s="34"/>
      <c r="R244" s="5"/>
      <c r="S244" s="35"/>
    </row>
    <row r="245" spans="1:21" ht="30" customHeight="1" x14ac:dyDescent="0.35">
      <c r="A245" s="474" t="s">
        <v>6</v>
      </c>
      <c r="B245" s="1334" t="s">
        <v>7</v>
      </c>
      <c r="C245" s="1335"/>
      <c r="D245" s="1336"/>
      <c r="E245" s="475" t="s">
        <v>8</v>
      </c>
      <c r="F245" s="476" t="s">
        <v>9</v>
      </c>
      <c r="G245" s="477" t="s">
        <v>10</v>
      </c>
      <c r="H245" s="478" t="s">
        <v>11</v>
      </c>
      <c r="I245" s="478" t="s">
        <v>12</v>
      </c>
      <c r="J245" s="479" t="s">
        <v>2739</v>
      </c>
      <c r="K245" s="474" t="s">
        <v>13</v>
      </c>
      <c r="L245" s="480" t="s">
        <v>39</v>
      </c>
      <c r="M245" s="50"/>
      <c r="N245" s="96"/>
      <c r="O245" s="384"/>
      <c r="P245" s="9"/>
      <c r="Q245" s="34"/>
      <c r="R245" s="5"/>
      <c r="S245" s="35"/>
    </row>
    <row r="246" spans="1:21" ht="30" customHeight="1" x14ac:dyDescent="0.35">
      <c r="A246" s="481" t="s">
        <v>2756</v>
      </c>
      <c r="B246" s="1386" t="s">
        <v>2765</v>
      </c>
      <c r="C246" s="1327"/>
      <c r="D246" s="1328"/>
      <c r="E246" s="482">
        <v>71</v>
      </c>
      <c r="F246" s="483" t="s">
        <v>16</v>
      </c>
      <c r="G246" s="483">
        <v>1676.85876981666</v>
      </c>
      <c r="H246" s="483">
        <v>201.096633157344</v>
      </c>
      <c r="I246" s="483">
        <v>207.99888920837699</v>
      </c>
      <c r="J246" s="483">
        <v>0</v>
      </c>
      <c r="K246" s="484">
        <f>+G246+H246+I246+J246</f>
        <v>2085.9542921823809</v>
      </c>
      <c r="L246" s="483" t="s">
        <v>16</v>
      </c>
      <c r="M246" s="50"/>
      <c r="N246" s="96"/>
      <c r="O246" s="384"/>
      <c r="P246" s="9"/>
      <c r="Q246" s="34"/>
      <c r="R246" s="5"/>
      <c r="S246" s="35"/>
    </row>
    <row r="247" spans="1:21" ht="30" customHeight="1" x14ac:dyDescent="0.35">
      <c r="A247" s="481" t="s">
        <v>2757</v>
      </c>
      <c r="B247" s="1386" t="s">
        <v>2766</v>
      </c>
      <c r="C247" s="1327"/>
      <c r="D247" s="1328"/>
      <c r="E247" s="482">
        <v>19</v>
      </c>
      <c r="F247" s="483" t="s">
        <v>16</v>
      </c>
      <c r="G247" s="483">
        <v>6421.2997301056303</v>
      </c>
      <c r="H247" s="483">
        <v>8512.9754918259496</v>
      </c>
      <c r="I247" s="483">
        <v>459.565620865602</v>
      </c>
      <c r="J247" s="483">
        <v>0</v>
      </c>
      <c r="K247" s="484">
        <f t="shared" ref="K247:K254" si="4">+G247+H247+I247+J247</f>
        <v>15393.840842797183</v>
      </c>
      <c r="L247" s="483" t="s">
        <v>16</v>
      </c>
      <c r="M247" s="50"/>
      <c r="N247" s="96"/>
      <c r="O247" s="384"/>
      <c r="P247" s="9"/>
      <c r="Q247" s="34"/>
      <c r="R247" s="5"/>
      <c r="S247" s="35"/>
    </row>
    <row r="248" spans="1:21" ht="30" customHeight="1" x14ac:dyDescent="0.35">
      <c r="A248" s="481" t="s">
        <v>2758</v>
      </c>
      <c r="B248" s="1386" t="s">
        <v>2767</v>
      </c>
      <c r="C248" s="1327"/>
      <c r="D248" s="1328"/>
      <c r="E248" s="482">
        <v>281</v>
      </c>
      <c r="F248" s="483" t="s">
        <v>28</v>
      </c>
      <c r="G248" s="483">
        <v>12213.154175899601</v>
      </c>
      <c r="H248" s="483">
        <v>2867.6323673717702</v>
      </c>
      <c r="I248" s="483">
        <v>0</v>
      </c>
      <c r="J248" s="483">
        <v>0</v>
      </c>
      <c r="K248" s="484">
        <f t="shared" si="4"/>
        <v>15080.786543271372</v>
      </c>
      <c r="L248" s="483" t="s">
        <v>28</v>
      </c>
      <c r="M248" s="50"/>
      <c r="N248" s="96"/>
      <c r="O248" s="384"/>
      <c r="P248" s="9"/>
      <c r="Q248" s="34"/>
      <c r="R248" s="5"/>
      <c r="S248" s="35"/>
    </row>
    <row r="249" spans="1:21" ht="30" customHeight="1" x14ac:dyDescent="0.35">
      <c r="A249" s="481" t="s">
        <v>2759</v>
      </c>
      <c r="B249" s="1386" t="s">
        <v>2768</v>
      </c>
      <c r="C249" s="1327"/>
      <c r="D249" s="1328"/>
      <c r="E249" s="482">
        <v>45.07</v>
      </c>
      <c r="F249" s="483" t="s">
        <v>28</v>
      </c>
      <c r="G249" s="483">
        <v>1061.4942444160299</v>
      </c>
      <c r="H249" s="483">
        <v>1809.56678863967</v>
      </c>
      <c r="I249" s="483">
        <v>0</v>
      </c>
      <c r="J249" s="483">
        <v>0</v>
      </c>
      <c r="K249" s="484">
        <f t="shared" si="4"/>
        <v>2871.0610330557001</v>
      </c>
      <c r="L249" s="483" t="s">
        <v>28</v>
      </c>
      <c r="M249" s="50"/>
      <c r="N249" s="96"/>
      <c r="O249" s="384"/>
      <c r="P249" s="9"/>
      <c r="Q249" s="34"/>
      <c r="R249" s="5"/>
      <c r="S249" s="35"/>
    </row>
    <row r="250" spans="1:21" ht="30" customHeight="1" x14ac:dyDescent="0.35">
      <c r="A250" s="481" t="s">
        <v>2760</v>
      </c>
      <c r="B250" s="1386" t="s">
        <v>2769</v>
      </c>
      <c r="C250" s="1327"/>
      <c r="D250" s="1328"/>
      <c r="E250" s="482">
        <v>4</v>
      </c>
      <c r="F250" s="483" t="s">
        <v>40</v>
      </c>
      <c r="G250" s="483">
        <v>692.32748817978199</v>
      </c>
      <c r="H250" s="483">
        <v>531.78935481539997</v>
      </c>
      <c r="I250" s="483">
        <v>0</v>
      </c>
      <c r="J250" s="483">
        <v>0</v>
      </c>
      <c r="K250" s="484">
        <f t="shared" si="4"/>
        <v>1224.116842995182</v>
      </c>
      <c r="L250" s="483" t="s">
        <v>40</v>
      </c>
      <c r="M250" s="50"/>
      <c r="N250" s="96"/>
      <c r="O250" s="384"/>
      <c r="P250" s="9"/>
      <c r="Q250" s="34"/>
      <c r="R250" s="5"/>
      <c r="S250" s="35"/>
    </row>
    <row r="251" spans="1:21" ht="30" customHeight="1" x14ac:dyDescent="0.35">
      <c r="A251" s="481" t="s">
        <v>2761</v>
      </c>
      <c r="B251" s="1386" t="s">
        <v>2770</v>
      </c>
      <c r="C251" s="1327"/>
      <c r="D251" s="1328"/>
      <c r="E251" s="482">
        <v>1</v>
      </c>
      <c r="F251" s="483" t="s">
        <v>40</v>
      </c>
      <c r="G251" s="483">
        <v>77577.679785140906</v>
      </c>
      <c r="H251" s="483">
        <v>3103.9063171775401</v>
      </c>
      <c r="I251" s="483">
        <v>0</v>
      </c>
      <c r="J251" s="483">
        <v>0</v>
      </c>
      <c r="K251" s="484">
        <f t="shared" si="4"/>
        <v>80681.586102318441</v>
      </c>
      <c r="L251" s="483" t="s">
        <v>40</v>
      </c>
      <c r="M251" s="50"/>
      <c r="N251" s="96"/>
      <c r="O251" s="384"/>
      <c r="P251" s="9"/>
      <c r="Q251" s="34"/>
      <c r="R251" s="5"/>
      <c r="S251" s="35"/>
    </row>
    <row r="252" spans="1:21" ht="30" customHeight="1" x14ac:dyDescent="0.35">
      <c r="A252" s="481" t="s">
        <v>2762</v>
      </c>
      <c r="B252" s="1386" t="s">
        <v>2771</v>
      </c>
      <c r="C252" s="1327"/>
      <c r="D252" s="1328"/>
      <c r="E252" s="482">
        <v>551.25</v>
      </c>
      <c r="F252" s="483" t="s">
        <v>108</v>
      </c>
      <c r="G252" s="483">
        <v>6057.5785005590897</v>
      </c>
      <c r="H252" s="483">
        <v>10345.3093770876</v>
      </c>
      <c r="I252" s="483">
        <v>0</v>
      </c>
      <c r="J252" s="483">
        <v>0</v>
      </c>
      <c r="K252" s="484">
        <f t="shared" si="4"/>
        <v>16402.887877646688</v>
      </c>
      <c r="L252" s="483" t="s">
        <v>108</v>
      </c>
      <c r="M252" s="50"/>
      <c r="N252" s="50"/>
      <c r="O252" s="384"/>
      <c r="P252" s="9"/>
      <c r="Q252" s="34"/>
      <c r="R252" s="5"/>
      <c r="S252" s="35"/>
    </row>
    <row r="253" spans="1:21" ht="30" customHeight="1" x14ac:dyDescent="0.35">
      <c r="A253" s="481" t="s">
        <v>2763</v>
      </c>
      <c r="B253" s="1386" t="s">
        <v>2772</v>
      </c>
      <c r="C253" s="1327"/>
      <c r="D253" s="1328"/>
      <c r="E253" s="482">
        <v>115.02</v>
      </c>
      <c r="F253" s="483" t="s">
        <v>28</v>
      </c>
      <c r="G253" s="483">
        <v>5289.6509893866596</v>
      </c>
      <c r="H253" s="483">
        <v>7957.9003533409996</v>
      </c>
      <c r="I253" s="483">
        <v>31.6798308178913</v>
      </c>
      <c r="J253" s="483">
        <v>0</v>
      </c>
      <c r="K253" s="484">
        <f t="shared" si="4"/>
        <v>13279.231173545551</v>
      </c>
      <c r="L253" s="483" t="s">
        <v>28</v>
      </c>
      <c r="M253" s="50"/>
      <c r="N253" s="50"/>
      <c r="O253" s="384"/>
      <c r="P253" s="9"/>
      <c r="Q253" s="34"/>
      <c r="R253" s="5"/>
      <c r="S253" s="35"/>
    </row>
    <row r="254" spans="1:21" ht="30" customHeight="1" x14ac:dyDescent="0.35">
      <c r="A254" s="481" t="s">
        <v>2764</v>
      </c>
      <c r="B254" s="1386" t="s">
        <v>2773</v>
      </c>
      <c r="C254" s="1327"/>
      <c r="D254" s="1328"/>
      <c r="E254" s="482">
        <v>4242.1400000000003</v>
      </c>
      <c r="F254" s="522" t="s">
        <v>108</v>
      </c>
      <c r="G254" s="483">
        <v>2504.7428386584702</v>
      </c>
      <c r="H254" s="483">
        <v>2476.4177967225601</v>
      </c>
      <c r="I254" s="483">
        <v>0</v>
      </c>
      <c r="J254" s="483">
        <v>0</v>
      </c>
      <c r="K254" s="484">
        <f t="shared" si="4"/>
        <v>4981.1606353810303</v>
      </c>
      <c r="L254" s="522" t="s">
        <v>108</v>
      </c>
      <c r="M254" s="96"/>
      <c r="N254" s="50"/>
      <c r="P254" s="9"/>
      <c r="Q254" s="34"/>
      <c r="R254" s="5"/>
      <c r="S254" s="35"/>
    </row>
    <row r="255" spans="1:21" ht="30" customHeight="1" x14ac:dyDescent="0.35">
      <c r="A255" s="1353" t="s">
        <v>2733</v>
      </c>
      <c r="B255" s="1354"/>
      <c r="C255" s="1354"/>
      <c r="D255" s="1354"/>
      <c r="E255" s="485"/>
      <c r="F255" s="485"/>
      <c r="G255" s="485"/>
      <c r="H255" s="485"/>
      <c r="I255" s="485"/>
      <c r="J255" s="515" t="s">
        <v>47</v>
      </c>
      <c r="K255" s="487">
        <f>SUM(K246:K254)</f>
        <v>152000.62534319353</v>
      </c>
      <c r="L255" s="486" t="s">
        <v>2428</v>
      </c>
      <c r="M255" s="96"/>
      <c r="T255" s="10"/>
      <c r="U255" s="10"/>
    </row>
    <row r="256" spans="1:21" ht="30" customHeight="1" thickBot="1" x14ac:dyDescent="0.4">
      <c r="A256" s="1355"/>
      <c r="B256" s="1355"/>
      <c r="C256" s="1355"/>
      <c r="D256" s="1355"/>
      <c r="E256" s="488"/>
      <c r="F256" s="441"/>
      <c r="G256" s="1387"/>
      <c r="H256" s="1388"/>
      <c r="I256" s="441"/>
      <c r="J256" s="523" t="s">
        <v>37</v>
      </c>
      <c r="K256" s="524">
        <f>+K255/H244</f>
        <v>10.133375022879569</v>
      </c>
      <c r="L256" s="525" t="s">
        <v>113</v>
      </c>
      <c r="M256" s="50"/>
      <c r="N256" s="50"/>
      <c r="O256" s="527"/>
    </row>
    <row r="257" spans="1:21" ht="30" customHeight="1" thickBot="1" x14ac:dyDescent="0.4">
      <c r="A257" s="1183"/>
      <c r="B257" s="1183"/>
      <c r="C257" s="1183"/>
      <c r="D257" s="1183"/>
      <c r="E257" s="488"/>
      <c r="F257" s="441"/>
      <c r="G257" s="1191" t="s">
        <v>3000</v>
      </c>
      <c r="H257" s="1192"/>
      <c r="I257" s="1193"/>
      <c r="J257" s="570">
        <v>1.0438745311870332</v>
      </c>
      <c r="K257" s="1184">
        <f>+K256*J257</f>
        <v>10.577972101350802</v>
      </c>
      <c r="L257" s="486" t="s">
        <v>113</v>
      </c>
      <c r="M257" s="50"/>
      <c r="N257" s="97"/>
      <c r="O257" s="491"/>
      <c r="T257" s="10"/>
      <c r="U257" s="10"/>
    </row>
    <row r="258" spans="1:21" ht="30" customHeight="1" thickBot="1" x14ac:dyDescent="0.4">
      <c r="A258" s="1199"/>
      <c r="B258" s="1200"/>
      <c r="C258" s="1200"/>
      <c r="D258" s="1200"/>
      <c r="E258" s="1200"/>
      <c r="F258" s="1200"/>
      <c r="G258" s="1200"/>
      <c r="H258" s="1200"/>
      <c r="I258" s="1200"/>
      <c r="J258" s="1200"/>
      <c r="K258" s="1200"/>
      <c r="L258" s="1201"/>
      <c r="M258" s="97"/>
      <c r="N258" s="96"/>
      <c r="O258" s="384"/>
      <c r="P258" s="9"/>
      <c r="Q258" s="34"/>
      <c r="R258" s="5"/>
      <c r="S258" s="35"/>
    </row>
    <row r="259" spans="1:21" ht="30" customHeight="1" x14ac:dyDescent="0.35">
      <c r="A259" s="388" t="s">
        <v>1</v>
      </c>
      <c r="B259" s="389">
        <v>1251</v>
      </c>
      <c r="C259" s="1487" t="s">
        <v>135</v>
      </c>
      <c r="D259" s="1488"/>
      <c r="E259" s="392" t="s">
        <v>3</v>
      </c>
      <c r="F259" s="525" t="s">
        <v>28</v>
      </c>
      <c r="G259" s="390" t="s">
        <v>2</v>
      </c>
      <c r="H259" s="134">
        <v>1000</v>
      </c>
      <c r="I259" s="392" t="s">
        <v>5</v>
      </c>
      <c r="J259" s="1207" t="s">
        <v>101</v>
      </c>
      <c r="K259" s="1207"/>
      <c r="L259" s="1208"/>
      <c r="M259" s="97"/>
      <c r="N259" s="96"/>
      <c r="O259" s="384"/>
      <c r="P259" s="9"/>
      <c r="Q259" s="34"/>
      <c r="R259" s="5"/>
      <c r="S259" s="35"/>
    </row>
    <row r="260" spans="1:21" ht="30" customHeight="1" x14ac:dyDescent="0.35">
      <c r="A260" s="474" t="s">
        <v>6</v>
      </c>
      <c r="B260" s="1334" t="s">
        <v>7</v>
      </c>
      <c r="C260" s="1335"/>
      <c r="D260" s="1336"/>
      <c r="E260" s="475" t="s">
        <v>8</v>
      </c>
      <c r="F260" s="476" t="s">
        <v>9</v>
      </c>
      <c r="G260" s="477" t="s">
        <v>10</v>
      </c>
      <c r="H260" s="478" t="s">
        <v>11</v>
      </c>
      <c r="I260" s="478" t="s">
        <v>12</v>
      </c>
      <c r="J260" s="479" t="s">
        <v>2774</v>
      </c>
      <c r="K260" s="474" t="s">
        <v>13</v>
      </c>
      <c r="L260" s="480" t="s">
        <v>39</v>
      </c>
      <c r="M260" s="50"/>
      <c r="N260" s="96"/>
      <c r="O260" s="384"/>
      <c r="P260" s="9"/>
      <c r="Q260" s="34"/>
      <c r="R260" s="5"/>
      <c r="S260" s="35"/>
    </row>
    <row r="261" spans="1:21" ht="30" customHeight="1" x14ac:dyDescent="0.35">
      <c r="A261" s="481" t="s">
        <v>136</v>
      </c>
      <c r="B261" s="1326" t="s">
        <v>137</v>
      </c>
      <c r="C261" s="1327"/>
      <c r="D261" s="1328"/>
      <c r="E261" s="482">
        <v>1000</v>
      </c>
      <c r="F261" s="483" t="s">
        <v>28</v>
      </c>
      <c r="G261" s="483">
        <v>223681.64322396801</v>
      </c>
      <c r="H261" s="483">
        <v>119542.33789129699</v>
      </c>
      <c r="I261" s="483">
        <v>0</v>
      </c>
      <c r="J261" s="483">
        <v>0</v>
      </c>
      <c r="K261" s="484">
        <f t="shared" ref="K261:K267" si="5">+J261+I261+H261+G261</f>
        <v>343223.98111526499</v>
      </c>
      <c r="L261" s="483" t="s">
        <v>28</v>
      </c>
      <c r="M261" s="50"/>
      <c r="N261" s="96"/>
      <c r="O261" s="384"/>
      <c r="P261" s="9"/>
      <c r="Q261" s="34"/>
      <c r="R261" s="5"/>
      <c r="S261" s="35"/>
    </row>
    <row r="262" spans="1:21" ht="30" customHeight="1" x14ac:dyDescent="0.35">
      <c r="A262" s="481" t="s">
        <v>84</v>
      </c>
      <c r="B262" s="1326" t="s">
        <v>85</v>
      </c>
      <c r="C262" s="1327"/>
      <c r="D262" s="1328"/>
      <c r="E262" s="482">
        <v>1000</v>
      </c>
      <c r="F262" s="483" t="s">
        <v>28</v>
      </c>
      <c r="G262" s="483">
        <v>817.94033716227102</v>
      </c>
      <c r="H262" s="483">
        <v>1322.12225756065</v>
      </c>
      <c r="I262" s="483">
        <v>0</v>
      </c>
      <c r="J262" s="483">
        <v>0</v>
      </c>
      <c r="K262" s="484">
        <f t="shared" si="5"/>
        <v>2140.0625947229209</v>
      </c>
      <c r="L262" s="483" t="s">
        <v>28</v>
      </c>
      <c r="M262" s="50"/>
      <c r="N262" s="96"/>
      <c r="O262" s="384"/>
      <c r="P262" s="9"/>
      <c r="Q262" s="34"/>
      <c r="R262" s="5"/>
      <c r="S262" s="35"/>
    </row>
    <row r="263" spans="1:21" ht="30" customHeight="1" x14ac:dyDescent="0.35">
      <c r="A263" s="481" t="s">
        <v>86</v>
      </c>
      <c r="B263" s="1326" t="s">
        <v>87</v>
      </c>
      <c r="C263" s="1327"/>
      <c r="D263" s="1328"/>
      <c r="E263" s="482">
        <v>3</v>
      </c>
      <c r="F263" s="483" t="s">
        <v>40</v>
      </c>
      <c r="G263" s="483">
        <v>1307.03527346543</v>
      </c>
      <c r="H263" s="483">
        <v>464.67786687642598</v>
      </c>
      <c r="I263" s="483">
        <v>0</v>
      </c>
      <c r="J263" s="483">
        <v>0</v>
      </c>
      <c r="K263" s="484">
        <f t="shared" si="5"/>
        <v>1771.7131403418559</v>
      </c>
      <c r="L263" s="483" t="s">
        <v>40</v>
      </c>
      <c r="M263" s="50"/>
      <c r="N263" s="96"/>
      <c r="O263" s="384"/>
      <c r="P263" s="9"/>
      <c r="Q263" s="34"/>
      <c r="R263" s="5"/>
      <c r="S263" s="35"/>
    </row>
    <row r="264" spans="1:21" ht="30" customHeight="1" x14ac:dyDescent="0.35">
      <c r="A264" s="481" t="s">
        <v>138</v>
      </c>
      <c r="B264" s="1326" t="s">
        <v>139</v>
      </c>
      <c r="C264" s="1327"/>
      <c r="D264" s="1328"/>
      <c r="E264" s="482">
        <v>1000</v>
      </c>
      <c r="F264" s="483" t="s">
        <v>28</v>
      </c>
      <c r="G264" s="483">
        <v>16475.65536284</v>
      </c>
      <c r="H264" s="483">
        <v>45209.446288786799</v>
      </c>
      <c r="I264" s="483">
        <v>0</v>
      </c>
      <c r="J264" s="483">
        <v>0</v>
      </c>
      <c r="K264" s="484">
        <f t="shared" si="5"/>
        <v>61685.101651626799</v>
      </c>
      <c r="L264" s="483" t="s">
        <v>28</v>
      </c>
      <c r="M264" s="50"/>
      <c r="N264" s="96"/>
      <c r="O264" s="384"/>
      <c r="P264" s="9"/>
      <c r="Q264" s="34"/>
      <c r="R264" s="5"/>
      <c r="S264" s="35"/>
    </row>
    <row r="265" spans="1:21" ht="30" customHeight="1" x14ac:dyDescent="0.35">
      <c r="A265" s="481" t="s">
        <v>140</v>
      </c>
      <c r="B265" s="1326" t="s">
        <v>141</v>
      </c>
      <c r="C265" s="1327"/>
      <c r="D265" s="1328"/>
      <c r="E265" s="482">
        <v>1000</v>
      </c>
      <c r="F265" s="483" t="s">
        <v>28</v>
      </c>
      <c r="G265" s="483">
        <v>2871.1375100389901</v>
      </c>
      <c r="H265" s="483">
        <v>951.322638310196</v>
      </c>
      <c r="I265" s="483">
        <v>16.6926599420872</v>
      </c>
      <c r="J265" s="483">
        <v>0</v>
      </c>
      <c r="K265" s="484">
        <f t="shared" si="5"/>
        <v>3839.1528082912732</v>
      </c>
      <c r="L265" s="483" t="s">
        <v>28</v>
      </c>
      <c r="M265" s="50"/>
      <c r="N265" s="50"/>
      <c r="O265" s="384"/>
      <c r="P265" s="9"/>
      <c r="Q265" s="34"/>
      <c r="R265" s="5"/>
      <c r="S265" s="35"/>
    </row>
    <row r="266" spans="1:21" ht="30" customHeight="1" x14ac:dyDescent="0.35">
      <c r="A266" s="481" t="s">
        <v>142</v>
      </c>
      <c r="B266" s="1326" t="s">
        <v>143</v>
      </c>
      <c r="C266" s="1327"/>
      <c r="D266" s="1328"/>
      <c r="E266" s="482">
        <v>3</v>
      </c>
      <c r="F266" s="483" t="s">
        <v>40</v>
      </c>
      <c r="G266" s="483">
        <v>32425.5420154842</v>
      </c>
      <c r="H266" s="483">
        <v>7752.67411509463</v>
      </c>
      <c r="I266" s="483">
        <v>0</v>
      </c>
      <c r="J266" s="483">
        <v>0</v>
      </c>
      <c r="K266" s="484">
        <f t="shared" si="5"/>
        <v>40178.216130578832</v>
      </c>
      <c r="L266" s="483" t="s">
        <v>40</v>
      </c>
      <c r="M266" s="50"/>
      <c r="N266" s="50"/>
      <c r="O266" s="384"/>
      <c r="P266" s="9"/>
      <c r="Q266" s="34"/>
      <c r="R266" s="5"/>
      <c r="S266" s="35"/>
    </row>
    <row r="267" spans="1:21" ht="30" customHeight="1" x14ac:dyDescent="0.35">
      <c r="A267" s="481" t="s">
        <v>144</v>
      </c>
      <c r="B267" s="1695" t="s">
        <v>145</v>
      </c>
      <c r="C267" s="1695"/>
      <c r="D267" s="1695"/>
      <c r="E267" s="482">
        <v>3</v>
      </c>
      <c r="F267" s="522" t="s">
        <v>40</v>
      </c>
      <c r="G267" s="483">
        <v>12051.265845189801</v>
      </c>
      <c r="H267" s="483">
        <v>13318.1710008379</v>
      </c>
      <c r="I267" s="483">
        <v>90.841455404838399</v>
      </c>
      <c r="J267" s="483">
        <v>0</v>
      </c>
      <c r="K267" s="484">
        <f t="shared" si="5"/>
        <v>25460.27830143254</v>
      </c>
      <c r="L267" s="522" t="s">
        <v>40</v>
      </c>
      <c r="M267" s="96"/>
      <c r="N267" s="50"/>
      <c r="P267" s="9"/>
      <c r="Q267" s="34"/>
      <c r="R267" s="5"/>
      <c r="S267" s="35"/>
    </row>
    <row r="268" spans="1:21" ht="30" customHeight="1" x14ac:dyDescent="0.35">
      <c r="A268" s="1353" t="s">
        <v>2733</v>
      </c>
      <c r="B268" s="1354"/>
      <c r="C268" s="1354"/>
      <c r="D268" s="1354"/>
      <c r="E268" s="485"/>
      <c r="F268" s="485"/>
      <c r="G268" s="485"/>
      <c r="H268" s="485"/>
      <c r="I268" s="485"/>
      <c r="J268" s="515" t="s">
        <v>47</v>
      </c>
      <c r="K268" s="487">
        <f>SUM(K261:K267)</f>
        <v>478298.50574225921</v>
      </c>
      <c r="L268" s="486" t="s">
        <v>2428</v>
      </c>
      <c r="M268" s="96"/>
      <c r="N268" s="50"/>
    </row>
    <row r="269" spans="1:21" ht="30" customHeight="1" thickBot="1" x14ac:dyDescent="0.4">
      <c r="A269" s="1355"/>
      <c r="B269" s="1355"/>
      <c r="C269" s="1355"/>
      <c r="D269" s="1355"/>
      <c r="E269" s="488"/>
      <c r="F269" s="441"/>
      <c r="G269" s="1387"/>
      <c r="H269" s="1388"/>
      <c r="I269" s="441"/>
      <c r="J269" s="489" t="s">
        <v>37</v>
      </c>
      <c r="K269" s="521">
        <f>K268/H259</f>
        <v>478.29850574225918</v>
      </c>
      <c r="L269" s="525" t="s">
        <v>28</v>
      </c>
      <c r="M269" s="50"/>
      <c r="N269" s="50"/>
      <c r="O269" s="527"/>
    </row>
    <row r="270" spans="1:21" ht="30" customHeight="1" thickBot="1" x14ac:dyDescent="0.4">
      <c r="A270" s="1183"/>
      <c r="B270" s="1183"/>
      <c r="C270" s="1183"/>
      <c r="D270" s="1183"/>
      <c r="E270" s="488"/>
      <c r="F270" s="441"/>
      <c r="G270" s="1191" t="s">
        <v>3000</v>
      </c>
      <c r="H270" s="1192"/>
      <c r="I270" s="1193"/>
      <c r="J270" s="570">
        <v>1.0438745311870332</v>
      </c>
      <c r="K270" s="1184">
        <f>+K269*J270</f>
        <v>499.28362844915932</v>
      </c>
      <c r="L270" s="486" t="s">
        <v>28</v>
      </c>
      <c r="M270" s="50"/>
      <c r="N270" s="97"/>
      <c r="O270" s="491"/>
      <c r="T270" s="10"/>
      <c r="U270" s="10"/>
    </row>
    <row r="271" spans="1:21" ht="30" customHeight="1" thickBot="1" x14ac:dyDescent="0.4">
      <c r="A271" s="1199"/>
      <c r="B271" s="1200"/>
      <c r="C271" s="1200"/>
      <c r="D271" s="1200"/>
      <c r="E271" s="1200"/>
      <c r="F271" s="1200"/>
      <c r="G271" s="1200"/>
      <c r="H271" s="1200"/>
      <c r="I271" s="1200"/>
      <c r="J271" s="1200"/>
      <c r="K271" s="1200"/>
      <c r="L271" s="1201"/>
      <c r="M271" s="50"/>
      <c r="N271" s="96"/>
      <c r="O271" s="384"/>
      <c r="P271" s="9"/>
      <c r="Q271" s="34"/>
      <c r="R271" s="5"/>
      <c r="S271" s="35"/>
    </row>
    <row r="272" spans="1:21" ht="30" customHeight="1" x14ac:dyDescent="0.35">
      <c r="A272" s="388" t="s">
        <v>1</v>
      </c>
      <c r="B272" s="389">
        <v>1252</v>
      </c>
      <c r="C272" s="1290" t="s">
        <v>146</v>
      </c>
      <c r="D272" s="1291"/>
      <c r="E272" s="392" t="s">
        <v>3</v>
      </c>
      <c r="F272" s="525" t="s">
        <v>28</v>
      </c>
      <c r="G272" s="390" t="s">
        <v>2</v>
      </c>
      <c r="H272" s="134">
        <v>1000</v>
      </c>
      <c r="I272" s="392" t="s">
        <v>5</v>
      </c>
      <c r="J272" s="1207" t="s">
        <v>101</v>
      </c>
      <c r="K272" s="1207"/>
      <c r="L272" s="1208"/>
      <c r="M272" s="97"/>
      <c r="N272" s="96"/>
      <c r="O272" s="384"/>
      <c r="P272" s="9"/>
      <c r="Q272" s="34"/>
      <c r="R272" s="5"/>
      <c r="S272" s="35"/>
    </row>
    <row r="273" spans="1:21" ht="30" customHeight="1" x14ac:dyDescent="0.35">
      <c r="A273" s="474" t="s">
        <v>6</v>
      </c>
      <c r="B273" s="1334" t="s">
        <v>7</v>
      </c>
      <c r="C273" s="1335"/>
      <c r="D273" s="1336"/>
      <c r="E273" s="475" t="s">
        <v>8</v>
      </c>
      <c r="F273" s="476" t="s">
        <v>9</v>
      </c>
      <c r="G273" s="477" t="s">
        <v>10</v>
      </c>
      <c r="H273" s="478" t="s">
        <v>11</v>
      </c>
      <c r="I273" s="478" t="s">
        <v>12</v>
      </c>
      <c r="J273" s="479" t="s">
        <v>2774</v>
      </c>
      <c r="K273" s="474" t="s">
        <v>13</v>
      </c>
      <c r="L273" s="480" t="s">
        <v>39</v>
      </c>
      <c r="M273" s="50"/>
      <c r="N273" s="96"/>
      <c r="O273" s="384"/>
      <c r="P273" s="9"/>
      <c r="Q273" s="34"/>
      <c r="R273" s="5"/>
      <c r="S273" s="35"/>
    </row>
    <row r="274" spans="1:21" ht="30" customHeight="1" x14ac:dyDescent="0.35">
      <c r="A274" s="481" t="s">
        <v>2775</v>
      </c>
      <c r="B274" s="1386" t="s">
        <v>2776</v>
      </c>
      <c r="C274" s="1327"/>
      <c r="D274" s="1328"/>
      <c r="E274" s="482">
        <v>1000</v>
      </c>
      <c r="F274" s="483" t="s">
        <v>28</v>
      </c>
      <c r="G274" s="483">
        <v>65101.373774139996</v>
      </c>
      <c r="H274" s="483">
        <v>70851.915585057097</v>
      </c>
      <c r="I274" s="483">
        <v>0</v>
      </c>
      <c r="J274" s="483">
        <v>0</v>
      </c>
      <c r="K274" s="484">
        <f>+J274+I274+H274+G274</f>
        <v>135953.28935919708</v>
      </c>
      <c r="L274" s="483" t="s">
        <v>28</v>
      </c>
      <c r="M274" s="50"/>
      <c r="N274" s="96"/>
      <c r="O274" s="384"/>
      <c r="P274" s="9"/>
      <c r="Q274" s="34"/>
      <c r="R274" s="5"/>
      <c r="S274" s="35"/>
    </row>
    <row r="275" spans="1:21" ht="30" customHeight="1" x14ac:dyDescent="0.35">
      <c r="A275" s="481" t="s">
        <v>86</v>
      </c>
      <c r="B275" s="1386" t="s">
        <v>87</v>
      </c>
      <c r="C275" s="1327"/>
      <c r="D275" s="1328"/>
      <c r="E275" s="482">
        <v>3</v>
      </c>
      <c r="F275" s="483" t="s">
        <v>40</v>
      </c>
      <c r="G275" s="483">
        <v>1307.03527346543</v>
      </c>
      <c r="H275" s="483">
        <v>464.67786687642598</v>
      </c>
      <c r="I275" s="483">
        <v>0</v>
      </c>
      <c r="J275" s="483">
        <v>0</v>
      </c>
      <c r="K275" s="484">
        <f>+J275+I275+H275+G275</f>
        <v>1771.7131403418559</v>
      </c>
      <c r="L275" s="486" t="s">
        <v>40</v>
      </c>
      <c r="M275" s="50"/>
      <c r="N275" s="96"/>
      <c r="O275" s="384"/>
      <c r="P275" s="9"/>
      <c r="Q275" s="34"/>
      <c r="R275" s="5"/>
      <c r="S275" s="35"/>
    </row>
    <row r="276" spans="1:21" ht="30" customHeight="1" x14ac:dyDescent="0.35">
      <c r="A276" s="481" t="s">
        <v>140</v>
      </c>
      <c r="B276" s="1386" t="s">
        <v>141</v>
      </c>
      <c r="C276" s="1327"/>
      <c r="D276" s="1328"/>
      <c r="E276" s="482">
        <v>1000</v>
      </c>
      <c r="F276" s="483" t="s">
        <v>28</v>
      </c>
      <c r="G276" s="483">
        <v>2871.1375100389901</v>
      </c>
      <c r="H276" s="483">
        <v>951.322638310196</v>
      </c>
      <c r="I276" s="483">
        <v>16.6926599420872</v>
      </c>
      <c r="J276" s="483">
        <v>0</v>
      </c>
      <c r="K276" s="484">
        <f>+J276+I276+H276+G276</f>
        <v>3839.1528082912732</v>
      </c>
      <c r="L276" s="486" t="s">
        <v>28</v>
      </c>
      <c r="M276" s="50"/>
      <c r="N276" s="96"/>
      <c r="O276" s="384"/>
      <c r="P276" s="9"/>
      <c r="Q276" s="34"/>
      <c r="R276" s="5"/>
      <c r="S276" s="35"/>
    </row>
    <row r="277" spans="1:21" ht="30" customHeight="1" x14ac:dyDescent="0.35">
      <c r="A277" s="481" t="s">
        <v>142</v>
      </c>
      <c r="B277" s="1386" t="s">
        <v>143</v>
      </c>
      <c r="C277" s="1327"/>
      <c r="D277" s="1328"/>
      <c r="E277" s="482">
        <v>1</v>
      </c>
      <c r="F277" s="483" t="s">
        <v>40</v>
      </c>
      <c r="G277" s="483">
        <v>10808.5140051614</v>
      </c>
      <c r="H277" s="483">
        <v>2584.22470503154</v>
      </c>
      <c r="I277" s="483">
        <v>0</v>
      </c>
      <c r="J277" s="483">
        <v>0</v>
      </c>
      <c r="K277" s="484">
        <f>+J277+I277+H277+G277</f>
        <v>13392.73871019294</v>
      </c>
      <c r="L277" s="486" t="s">
        <v>40</v>
      </c>
      <c r="M277" s="50"/>
      <c r="N277" s="50"/>
      <c r="O277" s="384"/>
      <c r="P277" s="9"/>
      <c r="Q277" s="34"/>
      <c r="R277" s="5"/>
      <c r="S277" s="35"/>
    </row>
    <row r="278" spans="1:21" ht="30" customHeight="1" x14ac:dyDescent="0.35">
      <c r="A278" s="481" t="s">
        <v>144</v>
      </c>
      <c r="B278" s="1386" t="s">
        <v>145</v>
      </c>
      <c r="C278" s="1327"/>
      <c r="D278" s="1328"/>
      <c r="E278" s="482">
        <v>1</v>
      </c>
      <c r="F278" s="483" t="s">
        <v>40</v>
      </c>
      <c r="G278" s="483">
        <v>4017.08861506328</v>
      </c>
      <c r="H278" s="483">
        <v>4439.3903336126396</v>
      </c>
      <c r="I278" s="483">
        <v>30.280485134946101</v>
      </c>
      <c r="J278" s="483">
        <v>0</v>
      </c>
      <c r="K278" s="484">
        <f>+J278+I278+H278+G278</f>
        <v>8486.7594338108665</v>
      </c>
      <c r="L278" s="486" t="s">
        <v>40</v>
      </c>
      <c r="M278" s="50"/>
      <c r="N278" s="50"/>
      <c r="P278" s="9"/>
      <c r="Q278" s="34"/>
      <c r="R278" s="5"/>
      <c r="S278" s="35"/>
    </row>
    <row r="279" spans="1:21" ht="30" customHeight="1" x14ac:dyDescent="0.35">
      <c r="A279" s="1353" t="s">
        <v>2733</v>
      </c>
      <c r="B279" s="1354"/>
      <c r="C279" s="1354"/>
      <c r="D279" s="1354"/>
      <c r="E279" s="485"/>
      <c r="F279" s="485"/>
      <c r="G279" s="485"/>
      <c r="H279" s="485"/>
      <c r="I279" s="485"/>
      <c r="J279" s="515" t="s">
        <v>47</v>
      </c>
      <c r="K279" s="487">
        <f>SUM(K274:K278)</f>
        <v>163443.65345183402</v>
      </c>
      <c r="L279" s="486" t="s">
        <v>2428</v>
      </c>
      <c r="M279" s="96"/>
      <c r="N279" s="50"/>
    </row>
    <row r="280" spans="1:21" ht="30" customHeight="1" thickBot="1" x14ac:dyDescent="0.4">
      <c r="A280" s="1355"/>
      <c r="B280" s="1355"/>
      <c r="C280" s="1355"/>
      <c r="D280" s="1355"/>
      <c r="E280" s="488"/>
      <c r="F280" s="441"/>
      <c r="G280" s="1387"/>
      <c r="H280" s="1388"/>
      <c r="I280" s="441"/>
      <c r="J280" s="489" t="s">
        <v>37</v>
      </c>
      <c r="K280" s="521">
        <f>K279/H272</f>
        <v>163.44365345183402</v>
      </c>
      <c r="L280" s="525" t="s">
        <v>28</v>
      </c>
      <c r="M280" s="50"/>
      <c r="T280" s="10"/>
      <c r="U280" s="10"/>
    </row>
    <row r="281" spans="1:21" ht="30" customHeight="1" thickBot="1" x14ac:dyDescent="0.4">
      <c r="A281" s="1183"/>
      <c r="B281" s="1183"/>
      <c r="C281" s="1183"/>
      <c r="D281" s="1183"/>
      <c r="E281" s="488"/>
      <c r="F281" s="441"/>
      <c r="G281" s="1191" t="s">
        <v>3000</v>
      </c>
      <c r="H281" s="1192"/>
      <c r="I281" s="1193"/>
      <c r="J281" s="570">
        <v>1.0438745311870332</v>
      </c>
      <c r="K281" s="1184">
        <f>+K280*J281</f>
        <v>170.61466712252917</v>
      </c>
      <c r="L281" s="486" t="s">
        <v>28</v>
      </c>
      <c r="M281" s="50"/>
      <c r="N281" s="97"/>
      <c r="O281" s="491"/>
      <c r="T281" s="10"/>
      <c r="U281" s="10"/>
    </row>
    <row r="282" spans="1:21" ht="30" customHeight="1" thickBot="1" x14ac:dyDescent="0.4">
      <c r="A282" s="1199"/>
      <c r="B282" s="1200"/>
      <c r="C282" s="1200"/>
      <c r="D282" s="1200"/>
      <c r="E282" s="1200"/>
      <c r="F282" s="1200"/>
      <c r="G282" s="1200"/>
      <c r="H282" s="1200"/>
      <c r="I282" s="1200"/>
      <c r="J282" s="1200"/>
      <c r="K282" s="1200"/>
      <c r="L282" s="1201"/>
      <c r="M282" s="50"/>
      <c r="N282" s="96"/>
      <c r="O282" s="384"/>
      <c r="P282" s="9"/>
      <c r="Q282" s="34"/>
      <c r="R282" s="5"/>
      <c r="S282" s="35"/>
    </row>
    <row r="283" spans="1:21" ht="30" customHeight="1" x14ac:dyDescent="0.35">
      <c r="A283" s="388" t="s">
        <v>1</v>
      </c>
      <c r="B283" s="389">
        <v>1261</v>
      </c>
      <c r="C283" s="1205" t="s">
        <v>147</v>
      </c>
      <c r="D283" s="1206"/>
      <c r="E283" s="392" t="s">
        <v>3</v>
      </c>
      <c r="F283" s="525" t="s">
        <v>78</v>
      </c>
      <c r="G283" s="390" t="s">
        <v>2</v>
      </c>
      <c r="H283" s="258">
        <v>4</v>
      </c>
      <c r="I283" s="392" t="s">
        <v>5</v>
      </c>
      <c r="J283" s="1304" t="s">
        <v>101</v>
      </c>
      <c r="K283" s="1305"/>
      <c r="L283" s="1306"/>
      <c r="M283" s="97"/>
      <c r="N283" s="96"/>
      <c r="O283" s="384"/>
      <c r="P283" s="9"/>
      <c r="Q283" s="34"/>
      <c r="R283" s="5"/>
      <c r="S283" s="35"/>
    </row>
    <row r="284" spans="1:21" ht="30" customHeight="1" x14ac:dyDescent="0.35">
      <c r="A284" s="474" t="s">
        <v>6</v>
      </c>
      <c r="B284" s="1334" t="s">
        <v>7</v>
      </c>
      <c r="C284" s="1335"/>
      <c r="D284" s="1336"/>
      <c r="E284" s="475" t="s">
        <v>8</v>
      </c>
      <c r="F284" s="476" t="s">
        <v>9</v>
      </c>
      <c r="G284" s="477" t="s">
        <v>10</v>
      </c>
      <c r="H284" s="478" t="s">
        <v>11</v>
      </c>
      <c r="I284" s="478" t="s">
        <v>12</v>
      </c>
      <c r="J284" s="479" t="s">
        <v>2774</v>
      </c>
      <c r="K284" s="474" t="s">
        <v>13</v>
      </c>
      <c r="L284" s="480" t="s">
        <v>39</v>
      </c>
      <c r="N284" s="96"/>
      <c r="O284" s="384"/>
      <c r="P284" s="9"/>
      <c r="Q284" s="34"/>
      <c r="R284" s="5"/>
      <c r="S284" s="35"/>
    </row>
    <row r="285" spans="1:21" ht="30" customHeight="1" x14ac:dyDescent="0.35">
      <c r="A285" s="481" t="s">
        <v>148</v>
      </c>
      <c r="B285" s="1326" t="s">
        <v>149</v>
      </c>
      <c r="C285" s="1327"/>
      <c r="D285" s="1328"/>
      <c r="E285" s="482">
        <v>2400</v>
      </c>
      <c r="F285" s="483" t="s">
        <v>108</v>
      </c>
      <c r="G285" s="483">
        <v>56300.1915115179</v>
      </c>
      <c r="H285" s="483">
        <v>23449.358886707902</v>
      </c>
      <c r="I285" s="483">
        <v>6613.6426783629504</v>
      </c>
      <c r="J285" s="483">
        <v>0</v>
      </c>
      <c r="K285" s="484">
        <f t="shared" ref="K285:K291" si="6">+J285+I285+H285+G285</f>
        <v>86363.193076588752</v>
      </c>
      <c r="L285" s="483" t="s">
        <v>108</v>
      </c>
      <c r="M285" s="50"/>
      <c r="N285" s="96"/>
      <c r="O285" s="384"/>
      <c r="P285" s="9"/>
      <c r="Q285" s="34"/>
      <c r="R285" s="5"/>
      <c r="S285" s="35"/>
    </row>
    <row r="286" spans="1:21" ht="30" customHeight="1" x14ac:dyDescent="0.35">
      <c r="A286" s="481" t="s">
        <v>150</v>
      </c>
      <c r="B286" s="1326" t="s">
        <v>151</v>
      </c>
      <c r="C286" s="1327"/>
      <c r="D286" s="1328"/>
      <c r="E286" s="482">
        <v>4</v>
      </c>
      <c r="F286" s="483" t="s">
        <v>40</v>
      </c>
      <c r="G286" s="483">
        <v>88864.831003412401</v>
      </c>
      <c r="H286" s="483">
        <v>8040.4555486293202</v>
      </c>
      <c r="I286" s="483">
        <v>571.72866380213702</v>
      </c>
      <c r="J286" s="483">
        <v>0</v>
      </c>
      <c r="K286" s="484">
        <f t="shared" si="6"/>
        <v>97477.015215843858</v>
      </c>
      <c r="L286" s="483" t="s">
        <v>40</v>
      </c>
      <c r="M286" s="50"/>
      <c r="N286" s="96"/>
      <c r="O286" s="384"/>
      <c r="P286" s="9"/>
      <c r="Q286" s="34"/>
      <c r="R286" s="5"/>
      <c r="S286" s="35"/>
    </row>
    <row r="287" spans="1:21" ht="30" customHeight="1" x14ac:dyDescent="0.35">
      <c r="A287" s="481" t="s">
        <v>152</v>
      </c>
      <c r="B287" s="1326" t="s">
        <v>153</v>
      </c>
      <c r="C287" s="1327"/>
      <c r="D287" s="1328"/>
      <c r="E287" s="482">
        <v>4</v>
      </c>
      <c r="F287" s="483" t="s">
        <v>40</v>
      </c>
      <c r="G287" s="483">
        <v>27385.913964882599</v>
      </c>
      <c r="H287" s="483">
        <v>3212.9739686787798</v>
      </c>
      <c r="I287" s="483">
        <v>0</v>
      </c>
      <c r="J287" s="483">
        <v>0</v>
      </c>
      <c r="K287" s="484">
        <f t="shared" si="6"/>
        <v>30598.887933561378</v>
      </c>
      <c r="L287" s="483" t="s">
        <v>40</v>
      </c>
      <c r="M287" s="50"/>
      <c r="N287" s="96"/>
      <c r="O287" s="384"/>
      <c r="P287" s="9"/>
      <c r="Q287" s="34"/>
      <c r="R287" s="5"/>
      <c r="S287" s="35"/>
    </row>
    <row r="288" spans="1:21" ht="30" customHeight="1" x14ac:dyDescent="0.35">
      <c r="A288" s="481" t="s">
        <v>154</v>
      </c>
      <c r="B288" s="1326" t="s">
        <v>155</v>
      </c>
      <c r="C288" s="1327"/>
      <c r="D288" s="1328"/>
      <c r="E288" s="482">
        <v>4</v>
      </c>
      <c r="F288" s="483" t="s">
        <v>40</v>
      </c>
      <c r="G288" s="483">
        <v>54771.827929765197</v>
      </c>
      <c r="H288" s="483">
        <v>11736.4783678773</v>
      </c>
      <c r="I288" s="483">
        <v>2858.64731818993</v>
      </c>
      <c r="J288" s="483">
        <v>0</v>
      </c>
      <c r="K288" s="484">
        <f t="shared" si="6"/>
        <v>69366.953615832434</v>
      </c>
      <c r="L288" s="483" t="s">
        <v>40</v>
      </c>
      <c r="M288" s="50"/>
      <c r="N288" s="96"/>
      <c r="O288" s="384"/>
      <c r="P288" s="9"/>
      <c r="Q288" s="34"/>
      <c r="R288" s="5"/>
      <c r="S288" s="35"/>
    </row>
    <row r="289" spans="1:21" ht="30" customHeight="1" x14ac:dyDescent="0.35">
      <c r="A289" s="481" t="s">
        <v>156</v>
      </c>
      <c r="B289" s="1326" t="s">
        <v>157</v>
      </c>
      <c r="C289" s="1327"/>
      <c r="D289" s="1328"/>
      <c r="E289" s="482">
        <v>4</v>
      </c>
      <c r="F289" s="483" t="s">
        <v>40</v>
      </c>
      <c r="G289" s="483">
        <v>50508.152701699597</v>
      </c>
      <c r="H289" s="483">
        <v>12323.301984111</v>
      </c>
      <c r="I289" s="483">
        <v>3001.57998403787</v>
      </c>
      <c r="J289" s="483">
        <v>0</v>
      </c>
      <c r="K289" s="484">
        <f t="shared" si="6"/>
        <v>65833.034669848465</v>
      </c>
      <c r="L289" s="483" t="s">
        <v>40</v>
      </c>
      <c r="M289" s="50"/>
      <c r="N289" s="50"/>
      <c r="O289" s="384"/>
      <c r="P289" s="9"/>
      <c r="Q289" s="34"/>
      <c r="R289" s="5"/>
      <c r="S289" s="35"/>
    </row>
    <row r="290" spans="1:21" ht="30" customHeight="1" x14ac:dyDescent="0.35">
      <c r="A290" s="481" t="s">
        <v>158</v>
      </c>
      <c r="B290" s="1326" t="s">
        <v>159</v>
      </c>
      <c r="C290" s="1327"/>
      <c r="D290" s="1328"/>
      <c r="E290" s="482">
        <v>4</v>
      </c>
      <c r="F290" s="483" t="s">
        <v>40</v>
      </c>
      <c r="G290" s="483">
        <v>1325.01907087576</v>
      </c>
      <c r="H290" s="483">
        <v>1335.6603569101101</v>
      </c>
      <c r="I290" s="483">
        <v>0</v>
      </c>
      <c r="J290" s="483">
        <v>0</v>
      </c>
      <c r="K290" s="484">
        <f t="shared" si="6"/>
        <v>2660.6794277858698</v>
      </c>
      <c r="L290" s="483" t="s">
        <v>40</v>
      </c>
      <c r="M290" s="50"/>
      <c r="N290" s="50"/>
      <c r="O290" s="384"/>
      <c r="P290" s="9"/>
      <c r="Q290" s="34"/>
      <c r="R290" s="5"/>
      <c r="S290" s="35"/>
    </row>
    <row r="291" spans="1:21" ht="30" customHeight="1" x14ac:dyDescent="0.35">
      <c r="A291" s="481" t="s">
        <v>160</v>
      </c>
      <c r="B291" s="1695" t="s">
        <v>161</v>
      </c>
      <c r="C291" s="1695"/>
      <c r="D291" s="1695"/>
      <c r="E291" s="482">
        <v>4</v>
      </c>
      <c r="F291" s="522" t="s">
        <v>40</v>
      </c>
      <c r="G291" s="483">
        <v>68566.457167645</v>
      </c>
      <c r="H291" s="483">
        <v>19543.969258299599</v>
      </c>
      <c r="I291" s="483">
        <v>941.84470467719905</v>
      </c>
      <c r="J291" s="483">
        <v>0</v>
      </c>
      <c r="K291" s="484">
        <f t="shared" si="6"/>
        <v>89052.271130621797</v>
      </c>
      <c r="L291" s="522" t="s">
        <v>40</v>
      </c>
      <c r="M291" s="96"/>
      <c r="N291" s="50"/>
      <c r="P291" s="9"/>
      <c r="Q291" s="34"/>
      <c r="R291" s="5"/>
      <c r="S291" s="35"/>
    </row>
    <row r="292" spans="1:21" ht="30" customHeight="1" x14ac:dyDescent="0.35">
      <c r="A292" s="528"/>
      <c r="B292" s="1724"/>
      <c r="C292" s="1724"/>
      <c r="D292" s="1724"/>
      <c r="E292" s="485"/>
      <c r="F292" s="485"/>
      <c r="G292" s="485"/>
      <c r="H292" s="485"/>
      <c r="I292" s="485"/>
      <c r="J292" s="515" t="s">
        <v>47</v>
      </c>
      <c r="K292" s="487">
        <f>SUM(K285:K291)</f>
        <v>441352.03507008252</v>
      </c>
      <c r="L292" s="486" t="s">
        <v>2428</v>
      </c>
      <c r="M292" s="96"/>
      <c r="N292" s="50"/>
    </row>
    <row r="293" spans="1:21" ht="30" customHeight="1" x14ac:dyDescent="0.35">
      <c r="A293" s="445"/>
      <c r="B293" s="1723"/>
      <c r="C293" s="1723"/>
      <c r="D293" s="1723"/>
      <c r="E293" s="488"/>
      <c r="F293" s="441"/>
      <c r="G293" s="1387"/>
      <c r="H293" s="1388"/>
      <c r="I293" s="441"/>
      <c r="J293" s="523" t="s">
        <v>37</v>
      </c>
      <c r="K293" s="521">
        <f>K292/H283</f>
        <v>110338.00876752063</v>
      </c>
      <c r="L293" s="525" t="s">
        <v>78</v>
      </c>
      <c r="M293" s="50"/>
      <c r="N293" s="50"/>
    </row>
    <row r="294" spans="1:21" ht="30" customHeight="1" thickBot="1" x14ac:dyDescent="0.4">
      <c r="A294" s="1183"/>
      <c r="B294" s="1183"/>
      <c r="C294" s="1183"/>
      <c r="D294" s="1183"/>
      <c r="E294" s="488"/>
      <c r="F294" s="441"/>
      <c r="G294" s="1191" t="s">
        <v>3000</v>
      </c>
      <c r="H294" s="1192"/>
      <c r="I294" s="1193"/>
      <c r="J294" s="570">
        <v>1.0438745311870332</v>
      </c>
      <c r="K294" s="1184">
        <f>+K293*J294</f>
        <v>115179.03717430636</v>
      </c>
      <c r="L294" s="486" t="s">
        <v>78</v>
      </c>
      <c r="M294" s="50"/>
      <c r="N294" s="97"/>
      <c r="O294" s="491"/>
      <c r="T294" s="10"/>
      <c r="U294" s="10"/>
    </row>
    <row r="295" spans="1:21" ht="30" customHeight="1" thickBot="1" x14ac:dyDescent="0.4">
      <c r="A295" s="1199"/>
      <c r="B295" s="1200"/>
      <c r="C295" s="1200"/>
      <c r="D295" s="1200"/>
      <c r="E295" s="1200"/>
      <c r="F295" s="1200"/>
      <c r="G295" s="1200"/>
      <c r="H295" s="1200"/>
      <c r="I295" s="1200"/>
      <c r="J295" s="1200"/>
      <c r="K295" s="1200"/>
      <c r="L295" s="1201"/>
      <c r="M295" s="50"/>
      <c r="N295" s="96"/>
      <c r="O295" s="384"/>
      <c r="P295" s="9"/>
      <c r="Q295" s="34"/>
      <c r="R295" s="5"/>
      <c r="S295" s="35"/>
    </row>
    <row r="296" spans="1:21" ht="30" customHeight="1" x14ac:dyDescent="0.35">
      <c r="A296" s="388" t="s">
        <v>1</v>
      </c>
      <c r="B296" s="389">
        <v>1262</v>
      </c>
      <c r="C296" s="1205" t="s">
        <v>162</v>
      </c>
      <c r="D296" s="1206"/>
      <c r="E296" s="392" t="s">
        <v>3</v>
      </c>
      <c r="F296" s="393" t="s">
        <v>163</v>
      </c>
      <c r="G296" s="529" t="s">
        <v>2</v>
      </c>
      <c r="H296" s="134">
        <v>2400</v>
      </c>
      <c r="I296" s="392" t="s">
        <v>5</v>
      </c>
      <c r="J296" s="1304" t="s">
        <v>101</v>
      </c>
      <c r="K296" s="1305"/>
      <c r="L296" s="1306"/>
      <c r="M296" s="97"/>
      <c r="N296" s="96"/>
      <c r="O296" s="384"/>
      <c r="P296" s="9"/>
      <c r="Q296" s="34"/>
      <c r="R296" s="5"/>
      <c r="S296" s="35"/>
    </row>
    <row r="297" spans="1:21" ht="30" customHeight="1" x14ac:dyDescent="0.35">
      <c r="A297" s="474" t="s">
        <v>6</v>
      </c>
      <c r="B297" s="1334" t="s">
        <v>7</v>
      </c>
      <c r="C297" s="1335"/>
      <c r="D297" s="1336"/>
      <c r="E297" s="475" t="s">
        <v>8</v>
      </c>
      <c r="F297" s="476" t="s">
        <v>9</v>
      </c>
      <c r="G297" s="477" t="s">
        <v>10</v>
      </c>
      <c r="H297" s="478" t="s">
        <v>11</v>
      </c>
      <c r="I297" s="478" t="s">
        <v>12</v>
      </c>
      <c r="J297" s="479" t="s">
        <v>2774</v>
      </c>
      <c r="K297" s="474" t="s">
        <v>13</v>
      </c>
      <c r="L297" s="480" t="s">
        <v>39</v>
      </c>
      <c r="M297" s="50"/>
      <c r="N297" s="96"/>
      <c r="O297" s="384"/>
      <c r="P297" s="9"/>
      <c r="Q297" s="34"/>
      <c r="R297" s="5"/>
      <c r="S297" s="35"/>
    </row>
    <row r="298" spans="1:21" ht="30" customHeight="1" x14ac:dyDescent="0.35">
      <c r="A298" s="481" t="s">
        <v>164</v>
      </c>
      <c r="B298" s="1386" t="s">
        <v>165</v>
      </c>
      <c r="C298" s="1327"/>
      <c r="D298" s="1328"/>
      <c r="E298" s="482">
        <v>2</v>
      </c>
      <c r="F298" s="483" t="s">
        <v>40</v>
      </c>
      <c r="G298" s="483">
        <v>136305.359307153</v>
      </c>
      <c r="H298" s="483">
        <v>13336.369194843401</v>
      </c>
      <c r="I298" s="483">
        <v>1591.0348043582601</v>
      </c>
      <c r="J298" s="483">
        <v>0</v>
      </c>
      <c r="K298" s="484">
        <f t="shared" ref="K298:K303" si="7">+J298+I298+H298+G298</f>
        <v>151232.76330635467</v>
      </c>
      <c r="L298" s="483" t="s">
        <v>40</v>
      </c>
      <c r="M298" s="50"/>
      <c r="N298" s="96"/>
      <c r="O298" s="384"/>
      <c r="P298" s="9"/>
      <c r="Q298" s="34"/>
      <c r="R298" s="5"/>
      <c r="S298" s="35"/>
    </row>
    <row r="299" spans="1:21" ht="30" customHeight="1" x14ac:dyDescent="0.35">
      <c r="A299" s="481" t="s">
        <v>166</v>
      </c>
      <c r="B299" s="1326" t="s">
        <v>167</v>
      </c>
      <c r="C299" s="1327"/>
      <c r="D299" s="1328"/>
      <c r="E299" s="482">
        <v>4</v>
      </c>
      <c r="F299" s="483" t="s">
        <v>40</v>
      </c>
      <c r="G299" s="483">
        <v>2166222.0916784699</v>
      </c>
      <c r="H299" s="483">
        <v>55530.109770387498</v>
      </c>
      <c r="I299" s="483">
        <v>0</v>
      </c>
      <c r="J299" s="483">
        <v>0</v>
      </c>
      <c r="K299" s="484">
        <f t="shared" si="7"/>
        <v>2221752.2014488573</v>
      </c>
      <c r="L299" s="483" t="s">
        <v>40</v>
      </c>
      <c r="M299" s="50"/>
      <c r="N299" s="96"/>
      <c r="O299" s="384"/>
      <c r="P299" s="9"/>
      <c r="Q299" s="34"/>
      <c r="R299" s="5"/>
      <c r="S299" s="35"/>
    </row>
    <row r="300" spans="1:21" ht="30" customHeight="1" x14ac:dyDescent="0.35">
      <c r="A300" s="481" t="s">
        <v>168</v>
      </c>
      <c r="B300" s="1326" t="s">
        <v>169</v>
      </c>
      <c r="C300" s="1327"/>
      <c r="D300" s="1328"/>
      <c r="E300" s="482">
        <v>1</v>
      </c>
      <c r="F300" s="483" t="s">
        <v>40</v>
      </c>
      <c r="G300" s="483">
        <v>333264.93718130299</v>
      </c>
      <c r="H300" s="483">
        <v>93558.957543944896</v>
      </c>
      <c r="I300" s="483">
        <v>17316.359487056801</v>
      </c>
      <c r="J300" s="483">
        <v>0</v>
      </c>
      <c r="K300" s="484">
        <f t="shared" si="7"/>
        <v>444140.25421230472</v>
      </c>
      <c r="L300" s="483" t="s">
        <v>40</v>
      </c>
      <c r="M300" s="50"/>
      <c r="N300" s="96"/>
      <c r="O300" s="384"/>
      <c r="P300" s="9"/>
      <c r="Q300" s="34"/>
      <c r="R300" s="5"/>
      <c r="S300" s="35"/>
    </row>
    <row r="301" spans="1:21" ht="30" customHeight="1" x14ac:dyDescent="0.35">
      <c r="A301" s="481" t="s">
        <v>170</v>
      </c>
      <c r="B301" s="1326" t="s">
        <v>171</v>
      </c>
      <c r="C301" s="1327"/>
      <c r="D301" s="1328"/>
      <c r="E301" s="482">
        <v>1</v>
      </c>
      <c r="F301" s="483" t="s">
        <v>40</v>
      </c>
      <c r="G301" s="483">
        <v>128.307000814801</v>
      </c>
      <c r="H301" s="483">
        <v>118.742703299269</v>
      </c>
      <c r="I301" s="483">
        <v>0</v>
      </c>
      <c r="J301" s="483">
        <v>0</v>
      </c>
      <c r="K301" s="484">
        <f t="shared" si="7"/>
        <v>247.04970411406998</v>
      </c>
      <c r="L301" s="483" t="s">
        <v>40</v>
      </c>
      <c r="M301" s="50"/>
      <c r="N301" s="96"/>
      <c r="O301" s="384"/>
      <c r="P301" s="9"/>
      <c r="Q301" s="34"/>
      <c r="R301" s="5"/>
      <c r="S301" s="35"/>
    </row>
    <row r="302" spans="1:21" ht="30" customHeight="1" x14ac:dyDescent="0.35">
      <c r="A302" s="481" t="s">
        <v>172</v>
      </c>
      <c r="B302" s="1326" t="s">
        <v>173</v>
      </c>
      <c r="C302" s="1327"/>
      <c r="D302" s="1328"/>
      <c r="E302" s="482">
        <v>4</v>
      </c>
      <c r="F302" s="483" t="s">
        <v>40</v>
      </c>
      <c r="G302" s="483">
        <v>106144.882492245</v>
      </c>
      <c r="H302" s="483">
        <v>6932.7085945383396</v>
      </c>
      <c r="I302" s="483">
        <v>0</v>
      </c>
      <c r="J302" s="483">
        <v>0</v>
      </c>
      <c r="K302" s="484">
        <f t="shared" si="7"/>
        <v>113077.59108678334</v>
      </c>
      <c r="L302" s="483" t="s">
        <v>40</v>
      </c>
      <c r="M302" s="50"/>
      <c r="N302" s="50"/>
      <c r="O302" s="384"/>
      <c r="P302" s="9"/>
      <c r="Q302" s="34"/>
      <c r="R302" s="5"/>
      <c r="S302" s="35"/>
    </row>
    <row r="303" spans="1:21" ht="30" customHeight="1" x14ac:dyDescent="0.35">
      <c r="A303" s="481" t="s">
        <v>174</v>
      </c>
      <c r="B303" s="1326" t="s">
        <v>175</v>
      </c>
      <c r="C303" s="1327"/>
      <c r="D303" s="1328"/>
      <c r="E303" s="482">
        <v>1</v>
      </c>
      <c r="F303" s="483" t="s">
        <v>40</v>
      </c>
      <c r="G303" s="483">
        <v>62776.116422030398</v>
      </c>
      <c r="H303" s="483">
        <v>0</v>
      </c>
      <c r="I303" s="483">
        <v>0</v>
      </c>
      <c r="J303" s="483">
        <v>0</v>
      </c>
      <c r="K303" s="484">
        <f t="shared" si="7"/>
        <v>62776.116422030398</v>
      </c>
      <c r="L303" s="483" t="s">
        <v>40</v>
      </c>
      <c r="M303" s="50"/>
      <c r="N303" s="50"/>
      <c r="P303" s="9"/>
      <c r="Q303" s="34"/>
      <c r="R303" s="5"/>
      <c r="S303" s="35"/>
    </row>
    <row r="304" spans="1:21" ht="30" customHeight="1" x14ac:dyDescent="0.35">
      <c r="A304" s="528"/>
      <c r="B304" s="1724"/>
      <c r="C304" s="1724"/>
      <c r="D304" s="1724"/>
      <c r="E304" s="485"/>
      <c r="F304" s="485"/>
      <c r="G304" s="485"/>
      <c r="H304" s="485"/>
      <c r="I304" s="485"/>
      <c r="J304" s="515" t="s">
        <v>47</v>
      </c>
      <c r="K304" s="487">
        <f>SUM(K298:K303)</f>
        <v>2993225.9761804449</v>
      </c>
      <c r="L304" s="486" t="s">
        <v>2428</v>
      </c>
      <c r="M304" s="96"/>
      <c r="N304" s="50"/>
      <c r="O304" s="5"/>
      <c r="P304" s="9"/>
      <c r="Q304" s="34"/>
      <c r="R304" s="5"/>
      <c r="S304" s="35"/>
    </row>
    <row r="305" spans="1:21" ht="30" customHeight="1" x14ac:dyDescent="0.35">
      <c r="A305" s="445"/>
      <c r="B305" s="1723"/>
      <c r="C305" s="1723"/>
      <c r="D305" s="1723"/>
      <c r="E305" s="488"/>
      <c r="F305" s="441"/>
      <c r="G305" s="1387"/>
      <c r="H305" s="1388"/>
      <c r="I305" s="441"/>
      <c r="J305" s="489" t="s">
        <v>37</v>
      </c>
      <c r="K305" s="521">
        <f>K304/H296</f>
        <v>1247.1774900751855</v>
      </c>
      <c r="L305" s="483" t="s">
        <v>163</v>
      </c>
      <c r="M305" s="50"/>
      <c r="N305" s="50"/>
      <c r="O305" s="5"/>
      <c r="P305" s="9"/>
      <c r="Q305" s="34"/>
      <c r="R305" s="5"/>
      <c r="S305" s="35"/>
    </row>
    <row r="306" spans="1:21" ht="30" customHeight="1" thickBot="1" x14ac:dyDescent="0.4">
      <c r="A306" s="1183"/>
      <c r="B306" s="1183"/>
      <c r="C306" s="1183"/>
      <c r="D306" s="1183"/>
      <c r="E306" s="488"/>
      <c r="F306" s="441"/>
      <c r="G306" s="1191" t="s">
        <v>3000</v>
      </c>
      <c r="H306" s="1192"/>
      <c r="I306" s="1193"/>
      <c r="J306" s="570">
        <v>1.0438745311870332</v>
      </c>
      <c r="K306" s="1184">
        <f>+K305*J306</f>
        <v>1301.8968177592551</v>
      </c>
      <c r="L306" s="486" t="s">
        <v>163</v>
      </c>
      <c r="M306" s="50"/>
      <c r="N306" s="97"/>
      <c r="O306" s="491"/>
      <c r="T306" s="10"/>
      <c r="U306" s="10"/>
    </row>
    <row r="307" spans="1:21" ht="30" customHeight="1" thickBot="1" x14ac:dyDescent="0.4">
      <c r="A307" s="1199"/>
      <c r="B307" s="1200"/>
      <c r="C307" s="1200"/>
      <c r="D307" s="1200"/>
      <c r="E307" s="1200"/>
      <c r="F307" s="1200"/>
      <c r="G307" s="1200"/>
      <c r="H307" s="1200"/>
      <c r="I307" s="1200"/>
      <c r="J307" s="1200"/>
      <c r="K307" s="1200"/>
      <c r="L307" s="1201"/>
      <c r="M307" s="50"/>
      <c r="N307" s="50"/>
      <c r="O307" s="5"/>
      <c r="P307" s="9"/>
      <c r="Q307" s="34"/>
      <c r="R307" s="5"/>
      <c r="S307" s="35"/>
    </row>
    <row r="308" spans="1:21" ht="30" customHeight="1" x14ac:dyDescent="0.35">
      <c r="A308" s="388" t="s">
        <v>1</v>
      </c>
      <c r="B308" s="389">
        <v>1311</v>
      </c>
      <c r="C308" s="1290" t="s">
        <v>176</v>
      </c>
      <c r="D308" s="1291"/>
      <c r="E308" s="392" t="s">
        <v>3</v>
      </c>
      <c r="F308" s="393" t="s">
        <v>108</v>
      </c>
      <c r="G308" s="390" t="s">
        <v>38</v>
      </c>
      <c r="H308" s="258">
        <v>4080</v>
      </c>
      <c r="I308" s="392" t="s">
        <v>5</v>
      </c>
      <c r="J308" s="1304" t="s">
        <v>2861</v>
      </c>
      <c r="K308" s="1305"/>
      <c r="L308" s="1306"/>
      <c r="M308" s="50"/>
      <c r="N308" s="50"/>
      <c r="O308" s="5"/>
      <c r="P308" s="9"/>
      <c r="Q308" s="34"/>
      <c r="R308" s="5"/>
      <c r="S308" s="35"/>
    </row>
    <row r="309" spans="1:21" ht="30" customHeight="1" x14ac:dyDescent="0.35">
      <c r="A309" s="185" t="s">
        <v>177</v>
      </c>
      <c r="B309" s="1272" t="s">
        <v>7</v>
      </c>
      <c r="C309" s="1272"/>
      <c r="D309" s="1272"/>
      <c r="E309" s="492" t="s">
        <v>178</v>
      </c>
      <c r="F309" s="397" t="s">
        <v>52</v>
      </c>
      <c r="G309" s="185"/>
      <c r="H309" s="185"/>
      <c r="I309" s="1223" t="s">
        <v>56</v>
      </c>
      <c r="J309" s="1224"/>
      <c r="K309" s="1209" t="s">
        <v>180</v>
      </c>
      <c r="L309" s="1210"/>
      <c r="M309" s="50"/>
      <c r="N309" s="50"/>
      <c r="O309" s="5"/>
      <c r="P309" s="9"/>
      <c r="Q309" s="34"/>
      <c r="R309" s="5"/>
      <c r="S309" s="35"/>
    </row>
    <row r="310" spans="1:21" ht="30" customHeight="1" x14ac:dyDescent="0.35">
      <c r="A310" s="401" t="s">
        <v>181</v>
      </c>
      <c r="B310" s="1265" t="s">
        <v>182</v>
      </c>
      <c r="C310" s="1265"/>
      <c r="D310" s="1265"/>
      <c r="E310" s="531">
        <v>100000</v>
      </c>
      <c r="F310" s="187">
        <v>659</v>
      </c>
      <c r="G310" s="532"/>
      <c r="H310" s="533"/>
      <c r="I310" s="1217" t="s">
        <v>2860</v>
      </c>
      <c r="J310" s="1218"/>
      <c r="K310" s="187">
        <f>F310</f>
        <v>659</v>
      </c>
      <c r="L310" s="401" t="s">
        <v>108</v>
      </c>
      <c r="M310" s="50"/>
      <c r="N310" s="50"/>
      <c r="O310" s="5"/>
      <c r="P310" s="9"/>
      <c r="Q310" s="34"/>
      <c r="R310" s="5"/>
      <c r="S310" s="35"/>
    </row>
    <row r="311" spans="1:21" ht="30" customHeight="1" thickBot="1" x14ac:dyDescent="0.4">
      <c r="A311" s="186"/>
      <c r="B311" s="1264"/>
      <c r="C311" s="1264"/>
      <c r="D311" s="1264"/>
      <c r="E311" s="535"/>
      <c r="F311" s="536"/>
      <c r="G311" s="536"/>
      <c r="H311" s="537"/>
      <c r="I311" s="503"/>
      <c r="J311" s="538" t="s">
        <v>37</v>
      </c>
      <c r="K311" s="187">
        <f>F310</f>
        <v>659</v>
      </c>
      <c r="L311" s="401" t="s">
        <v>108</v>
      </c>
      <c r="M311" s="50"/>
      <c r="O311" s="5"/>
      <c r="P311" s="9"/>
      <c r="Q311" s="34"/>
      <c r="R311" s="5"/>
      <c r="S311" s="35"/>
    </row>
    <row r="312" spans="1:21" ht="30" customHeight="1" thickBot="1" x14ac:dyDescent="0.4">
      <c r="A312" s="1199"/>
      <c r="B312" s="1200"/>
      <c r="C312" s="1200"/>
      <c r="D312" s="1200"/>
      <c r="E312" s="1200"/>
      <c r="F312" s="1200"/>
      <c r="G312" s="1200"/>
      <c r="H312" s="1200"/>
      <c r="I312" s="1200"/>
      <c r="J312" s="1200"/>
      <c r="K312" s="1200"/>
      <c r="L312" s="1201"/>
      <c r="M312" s="50"/>
      <c r="N312" s="50"/>
      <c r="O312" s="5"/>
      <c r="P312" s="9"/>
      <c r="Q312" s="34"/>
      <c r="R312" s="5"/>
      <c r="S312" s="35"/>
    </row>
    <row r="313" spans="1:21" ht="30" customHeight="1" x14ac:dyDescent="0.35">
      <c r="A313" s="388" t="s">
        <v>1</v>
      </c>
      <c r="B313" s="389">
        <v>1312</v>
      </c>
      <c r="C313" s="1290" t="s">
        <v>183</v>
      </c>
      <c r="D313" s="1291"/>
      <c r="E313" s="392" t="s">
        <v>3</v>
      </c>
      <c r="F313" s="393" t="s">
        <v>108</v>
      </c>
      <c r="G313" s="390" t="s">
        <v>38</v>
      </c>
      <c r="H313" s="135">
        <v>4080</v>
      </c>
      <c r="I313" s="392" t="s">
        <v>5</v>
      </c>
      <c r="J313" s="1304" t="s">
        <v>2873</v>
      </c>
      <c r="K313" s="1305"/>
      <c r="L313" s="1306"/>
      <c r="M313" s="96"/>
      <c r="N313" s="50"/>
      <c r="O313" s="5"/>
      <c r="P313" s="9"/>
      <c r="Q313" s="34"/>
      <c r="R313" s="5"/>
      <c r="S313" s="35"/>
    </row>
    <row r="314" spans="1:21" ht="30" customHeight="1" x14ac:dyDescent="0.35">
      <c r="A314" s="185" t="s">
        <v>177</v>
      </c>
      <c r="B314" s="1272" t="s">
        <v>7</v>
      </c>
      <c r="C314" s="1272"/>
      <c r="D314" s="1272"/>
      <c r="E314" s="492" t="s">
        <v>178</v>
      </c>
      <c r="F314" s="397" t="s">
        <v>52</v>
      </c>
      <c r="G314" s="185"/>
      <c r="H314" s="185"/>
      <c r="I314" s="1221" t="s">
        <v>185</v>
      </c>
      <c r="J314" s="1222"/>
      <c r="K314" s="1209" t="s">
        <v>180</v>
      </c>
      <c r="L314" s="1210"/>
      <c r="M314" s="50"/>
      <c r="N314" s="50"/>
      <c r="O314" s="539"/>
      <c r="P314" s="9"/>
      <c r="Q314" s="34"/>
      <c r="R314" s="5"/>
      <c r="S314" s="35"/>
    </row>
    <row r="315" spans="1:21" ht="30" customHeight="1" x14ac:dyDescent="0.35">
      <c r="A315" s="401">
        <v>13120</v>
      </c>
      <c r="B315" s="1265" t="s">
        <v>2966</v>
      </c>
      <c r="C315" s="1265"/>
      <c r="D315" s="1265"/>
      <c r="E315" s="531">
        <v>66000</v>
      </c>
      <c r="F315" s="187">
        <v>550</v>
      </c>
      <c r="G315" s="532"/>
      <c r="H315" s="533"/>
      <c r="I315" s="1217">
        <f>+'FY2024 MILCON Inflation Table'!F23</f>
        <v>0.93863689284411045</v>
      </c>
      <c r="J315" s="1218"/>
      <c r="K315" s="189">
        <f>+F315*I315</f>
        <v>516.25029106426075</v>
      </c>
      <c r="L315" s="401" t="s">
        <v>108</v>
      </c>
      <c r="N315" s="50"/>
      <c r="O315" s="384"/>
      <c r="P315" s="9"/>
      <c r="Q315" s="34"/>
      <c r="R315" s="5"/>
      <c r="S315" s="35"/>
    </row>
    <row r="316" spans="1:21" ht="30" customHeight="1" thickBot="1" x14ac:dyDescent="0.4">
      <c r="A316" s="186"/>
      <c r="B316" s="1264"/>
      <c r="C316" s="1264"/>
      <c r="D316" s="1264"/>
      <c r="E316" s="1752" t="s">
        <v>2540</v>
      </c>
      <c r="F316" s="1753"/>
      <c r="G316" s="1753"/>
      <c r="H316" s="1754"/>
      <c r="I316" s="503"/>
      <c r="J316" s="538" t="s">
        <v>37</v>
      </c>
      <c r="K316" s="190">
        <f>+K315</f>
        <v>516.25029106426075</v>
      </c>
      <c r="L316" s="186" t="s">
        <v>108</v>
      </c>
      <c r="M316" s="50"/>
      <c r="N316" s="50"/>
      <c r="O316" s="384"/>
      <c r="P316" s="9"/>
      <c r="Q316" s="34"/>
      <c r="R316" s="5"/>
      <c r="S316" s="35"/>
    </row>
    <row r="317" spans="1:21" ht="30" customHeight="1" thickBot="1" x14ac:dyDescent="0.4">
      <c r="A317" s="1199"/>
      <c r="B317" s="1200"/>
      <c r="C317" s="1200"/>
      <c r="D317" s="1200"/>
      <c r="E317" s="1200"/>
      <c r="F317" s="1200"/>
      <c r="G317" s="1200"/>
      <c r="H317" s="1200"/>
      <c r="I317" s="1200"/>
      <c r="J317" s="1200"/>
      <c r="K317" s="1200"/>
      <c r="L317" s="1201"/>
      <c r="M317" s="50"/>
      <c r="N317" s="50"/>
      <c r="O317" s="5"/>
      <c r="P317" s="9"/>
      <c r="Q317" s="34"/>
      <c r="R317" s="5"/>
      <c r="S317" s="35"/>
    </row>
    <row r="318" spans="1:21" ht="30" customHeight="1" x14ac:dyDescent="0.35">
      <c r="A318" s="388" t="s">
        <v>1</v>
      </c>
      <c r="B318" s="388">
        <v>1321</v>
      </c>
      <c r="C318" s="1290" t="s">
        <v>182</v>
      </c>
      <c r="D318" s="1291"/>
      <c r="E318" s="392" t="s">
        <v>3</v>
      </c>
      <c r="F318" s="393" t="s">
        <v>40</v>
      </c>
      <c r="G318" s="390" t="s">
        <v>2</v>
      </c>
      <c r="H318" s="135">
        <v>1</v>
      </c>
      <c r="I318" s="392" t="s">
        <v>5</v>
      </c>
      <c r="J318" s="1304" t="s">
        <v>2481</v>
      </c>
      <c r="K318" s="1304"/>
      <c r="L318" s="1224"/>
      <c r="M318" s="96"/>
      <c r="N318" s="50"/>
      <c r="O318" s="5"/>
      <c r="P318" s="9"/>
      <c r="Q318" s="34"/>
      <c r="R318" s="5"/>
      <c r="S318" s="35"/>
    </row>
    <row r="319" spans="1:21" ht="30" customHeight="1" x14ac:dyDescent="0.35">
      <c r="A319" s="185" t="s">
        <v>187</v>
      </c>
      <c r="B319" s="1651" t="s">
        <v>7</v>
      </c>
      <c r="C319" s="1652"/>
      <c r="D319" s="1653"/>
      <c r="E319" s="397" t="s">
        <v>52</v>
      </c>
      <c r="F319" s="397" t="s">
        <v>9</v>
      </c>
      <c r="G319" s="1221"/>
      <c r="H319" s="1222"/>
      <c r="I319" s="1221" t="s">
        <v>188</v>
      </c>
      <c r="J319" s="1222"/>
      <c r="K319" s="1209" t="s">
        <v>180</v>
      </c>
      <c r="L319" s="1210"/>
      <c r="M319" s="50"/>
      <c r="N319" s="50"/>
      <c r="O319" s="5"/>
      <c r="P319" s="9"/>
      <c r="Q319" s="34"/>
      <c r="R319" s="5"/>
      <c r="S319" s="35"/>
    </row>
    <row r="320" spans="1:21" ht="30" customHeight="1" x14ac:dyDescent="0.35">
      <c r="A320" s="401" t="s">
        <v>189</v>
      </c>
      <c r="B320" s="1586" t="s">
        <v>190</v>
      </c>
      <c r="C320" s="1587"/>
      <c r="D320" s="1588"/>
      <c r="E320" s="191">
        <f>(38800+58500)/2</f>
        <v>48650</v>
      </c>
      <c r="F320" s="191" t="s">
        <v>40</v>
      </c>
      <c r="G320" s="1705"/>
      <c r="H320" s="1706"/>
      <c r="I320" s="1541">
        <v>1.1100000000000001</v>
      </c>
      <c r="J320" s="1542"/>
      <c r="K320" s="189">
        <f>+E320*I320</f>
        <v>54001.500000000007</v>
      </c>
      <c r="L320" s="401" t="s">
        <v>40</v>
      </c>
      <c r="N320" s="50"/>
      <c r="O320" s="539"/>
      <c r="P320" s="9"/>
      <c r="Q320" s="34"/>
      <c r="R320" s="5"/>
      <c r="S320" s="35"/>
    </row>
    <row r="321" spans="1:21" ht="30" customHeight="1" x14ac:dyDescent="0.35">
      <c r="A321" s="401" t="s">
        <v>189</v>
      </c>
      <c r="B321" s="1586" t="s">
        <v>191</v>
      </c>
      <c r="C321" s="1587"/>
      <c r="D321" s="1588"/>
      <c r="E321" s="260">
        <f>(230+347)/2*66</f>
        <v>19041</v>
      </c>
      <c r="F321" s="191" t="s">
        <v>40</v>
      </c>
      <c r="G321" s="392"/>
      <c r="H321" s="525"/>
      <c r="I321" s="1541">
        <v>1.1100000000000001</v>
      </c>
      <c r="J321" s="1542"/>
      <c r="K321" s="189">
        <f>+E321*I321</f>
        <v>21135.510000000002</v>
      </c>
      <c r="L321" s="401" t="s">
        <v>40</v>
      </c>
      <c r="M321" s="50"/>
      <c r="N321" s="50"/>
      <c r="O321" s="539"/>
      <c r="Q321" s="34"/>
      <c r="R321" s="5"/>
      <c r="S321" s="35"/>
    </row>
    <row r="322" spans="1:21" ht="30" customHeight="1" x14ac:dyDescent="0.35">
      <c r="A322" s="401"/>
      <c r="B322" s="543"/>
      <c r="C322" s="544"/>
      <c r="D322" s="545"/>
      <c r="E322" s="260"/>
      <c r="F322" s="131"/>
      <c r="G322" s="392"/>
      <c r="H322" s="525"/>
      <c r="I322" s="546"/>
      <c r="J322" s="547" t="s">
        <v>192</v>
      </c>
      <c r="K322" s="189">
        <f>AVERAGE(K320:K321)</f>
        <v>37568.505000000005</v>
      </c>
      <c r="L322" s="401"/>
      <c r="M322" s="50"/>
      <c r="N322" s="50"/>
      <c r="O322" s="539"/>
      <c r="Q322" s="34"/>
      <c r="R322" s="5"/>
      <c r="S322" s="35"/>
    </row>
    <row r="323" spans="1:21" ht="30" customHeight="1" x14ac:dyDescent="0.35">
      <c r="A323" s="401" t="s">
        <v>193</v>
      </c>
      <c r="B323" s="1586" t="s">
        <v>194</v>
      </c>
      <c r="C323" s="1587"/>
      <c r="D323" s="1588"/>
      <c r="E323" s="260">
        <v>765</v>
      </c>
      <c r="F323" s="191" t="s">
        <v>40</v>
      </c>
      <c r="G323" s="392"/>
      <c r="H323" s="525"/>
      <c r="I323" s="1541">
        <v>1.32</v>
      </c>
      <c r="J323" s="1542"/>
      <c r="K323" s="189">
        <f>+E323*I323</f>
        <v>1009.8000000000001</v>
      </c>
      <c r="L323" s="191" t="s">
        <v>40</v>
      </c>
      <c r="M323" s="50"/>
      <c r="N323" s="50"/>
      <c r="Q323" s="34"/>
      <c r="R323" s="5"/>
      <c r="S323" s="35"/>
    </row>
    <row r="324" spans="1:21" ht="30" customHeight="1" x14ac:dyDescent="0.35">
      <c r="A324" s="409" t="s">
        <v>193</v>
      </c>
      <c r="B324" s="1389" t="s">
        <v>2560</v>
      </c>
      <c r="C324" s="1390"/>
      <c r="D324" s="1391"/>
      <c r="E324" s="331">
        <f>((437+510)/2)*1.2</f>
        <v>568.19999999999993</v>
      </c>
      <c r="F324" s="191" t="s">
        <v>40</v>
      </c>
      <c r="G324" s="548"/>
      <c r="H324" s="549"/>
      <c r="I324" s="1541">
        <v>1.32</v>
      </c>
      <c r="J324" s="1542"/>
      <c r="K324" s="189">
        <f>+E324*I324</f>
        <v>750.024</v>
      </c>
      <c r="L324" s="191" t="s">
        <v>40</v>
      </c>
      <c r="M324" s="50"/>
      <c r="N324" s="50"/>
      <c r="P324" s="9"/>
      <c r="Q324" s="34"/>
      <c r="R324" s="5"/>
      <c r="S324" s="35"/>
    </row>
    <row r="325" spans="1:21" ht="30" customHeight="1" x14ac:dyDescent="0.35">
      <c r="A325" s="186"/>
      <c r="B325" s="373"/>
      <c r="C325" s="374"/>
      <c r="D325" s="375"/>
      <c r="E325" s="128"/>
      <c r="F325" s="1215" t="s">
        <v>195</v>
      </c>
      <c r="G325" s="1273" t="s">
        <v>196</v>
      </c>
      <c r="H325" s="1273"/>
      <c r="I325" s="1273"/>
      <c r="J325" s="1273"/>
      <c r="K325" s="197">
        <v>1.06</v>
      </c>
      <c r="L325" s="503"/>
      <c r="M325" s="50"/>
      <c r="N325" s="50"/>
      <c r="P325" s="9"/>
      <c r="Q325" s="34"/>
      <c r="R325" s="5"/>
      <c r="S325" s="35"/>
    </row>
    <row r="326" spans="1:21" ht="30" customHeight="1" x14ac:dyDescent="0.35">
      <c r="A326" s="186"/>
      <c r="B326" s="373"/>
      <c r="C326" s="374"/>
      <c r="D326" s="375"/>
      <c r="E326" s="128"/>
      <c r="F326" s="1216"/>
      <c r="G326" s="1268" t="s">
        <v>2477</v>
      </c>
      <c r="H326" s="1268"/>
      <c r="I326" s="1268"/>
      <c r="J326" s="1268"/>
      <c r="K326" s="197">
        <v>1.05</v>
      </c>
      <c r="L326" s="503"/>
      <c r="M326" s="50"/>
      <c r="N326" s="50"/>
      <c r="P326" s="9"/>
      <c r="Q326" s="34"/>
      <c r="R326" s="5"/>
      <c r="S326" s="35"/>
    </row>
    <row r="327" spans="1:21" ht="30" customHeight="1" x14ac:dyDescent="0.35">
      <c r="A327" s="188"/>
      <c r="B327" s="1212"/>
      <c r="C327" s="1213"/>
      <c r="D327" s="1214"/>
      <c r="E327" s="555"/>
      <c r="F327" s="556"/>
      <c r="G327" s="556"/>
      <c r="H327" s="557"/>
      <c r="I327" s="558"/>
      <c r="J327" s="550" t="s">
        <v>37</v>
      </c>
      <c r="K327" s="192">
        <f>(K322+K323+K324)*K325/K326</f>
        <v>39702.884514285724</v>
      </c>
      <c r="L327" s="188" t="s">
        <v>40</v>
      </c>
      <c r="M327" s="50"/>
      <c r="N327" s="50"/>
    </row>
    <row r="328" spans="1:21" ht="30" customHeight="1" x14ac:dyDescent="0.35">
      <c r="A328" s="176"/>
      <c r="B328" s="501"/>
      <c r="C328" s="501"/>
      <c r="D328" s="501"/>
      <c r="E328" s="559"/>
      <c r="F328" s="559"/>
      <c r="G328" s="1198" t="s">
        <v>257</v>
      </c>
      <c r="H328" s="1198"/>
      <c r="I328" s="1198"/>
      <c r="J328" s="560">
        <f>VLOOKUP(B318,'Mil Cost Premiums for PUCs'!$A$4:$R$285,18,FALSE)</f>
        <v>1.0209999999999999</v>
      </c>
      <c r="K328" s="332">
        <f>+K327*J328</f>
        <v>40536.645089085723</v>
      </c>
      <c r="L328" s="561" t="s">
        <v>40</v>
      </c>
      <c r="M328" s="50"/>
      <c r="N328" s="50"/>
    </row>
    <row r="329" spans="1:21" ht="30" customHeight="1" thickBot="1" x14ac:dyDescent="0.4">
      <c r="A329" s="176"/>
      <c r="B329" s="501"/>
      <c r="C329" s="501"/>
      <c r="D329" s="501"/>
      <c r="E329" s="559"/>
      <c r="F329" s="559"/>
      <c r="G329" s="1310" t="s">
        <v>3000</v>
      </c>
      <c r="H329" s="1310"/>
      <c r="I329" s="1311"/>
      <c r="J329" s="560">
        <f>'FY2024 MILCON Inflation Table'!F19</f>
        <v>1.0438745311870332</v>
      </c>
      <c r="K329" s="332">
        <f>+K328*J329</f>
        <v>42315.171388264513</v>
      </c>
      <c r="L329" s="561" t="s">
        <v>40</v>
      </c>
      <c r="M329" s="50"/>
      <c r="N329" s="50"/>
      <c r="T329" s="10"/>
      <c r="U329" s="10"/>
    </row>
    <row r="330" spans="1:21" ht="30" customHeight="1" thickBot="1" x14ac:dyDescent="0.4">
      <c r="A330" s="1199"/>
      <c r="B330" s="1200"/>
      <c r="C330" s="1200"/>
      <c r="D330" s="1200"/>
      <c r="E330" s="1200"/>
      <c r="F330" s="1200"/>
      <c r="G330" s="1200"/>
      <c r="H330" s="1200"/>
      <c r="I330" s="1200"/>
      <c r="J330" s="1200"/>
      <c r="K330" s="1200"/>
      <c r="L330" s="1201"/>
      <c r="M330" s="50"/>
      <c r="N330" s="9"/>
      <c r="T330" s="53"/>
      <c r="U330" s="53"/>
    </row>
    <row r="331" spans="1:21" ht="30" customHeight="1" x14ac:dyDescent="0.35">
      <c r="A331" s="388" t="s">
        <v>1</v>
      </c>
      <c r="B331" s="389">
        <v>1331</v>
      </c>
      <c r="C331" s="1290" t="s">
        <v>209</v>
      </c>
      <c r="D331" s="1291"/>
      <c r="E331" s="392" t="s">
        <v>3</v>
      </c>
      <c r="F331" s="393" t="s">
        <v>108</v>
      </c>
      <c r="G331" s="390" t="s">
        <v>38</v>
      </c>
      <c r="H331" s="135">
        <v>2852.1395059880201</v>
      </c>
      <c r="I331" s="392" t="s">
        <v>5</v>
      </c>
      <c r="J331" s="1304" t="s">
        <v>2861</v>
      </c>
      <c r="K331" s="1305"/>
      <c r="L331" s="1306"/>
      <c r="M331" s="50"/>
      <c r="N331" s="50"/>
      <c r="T331" s="10"/>
      <c r="U331" s="10"/>
    </row>
    <row r="332" spans="1:21" ht="30" customHeight="1" x14ac:dyDescent="0.35">
      <c r="A332" s="185" t="s">
        <v>177</v>
      </c>
      <c r="B332" s="1272" t="s">
        <v>7</v>
      </c>
      <c r="C332" s="1272"/>
      <c r="D332" s="1272"/>
      <c r="E332" s="492" t="s">
        <v>178</v>
      </c>
      <c r="F332" s="397" t="s">
        <v>52</v>
      </c>
      <c r="G332" s="185"/>
      <c r="H332" s="185"/>
      <c r="I332" s="1221" t="s">
        <v>179</v>
      </c>
      <c r="J332" s="1222"/>
      <c r="K332" s="1209" t="s">
        <v>180</v>
      </c>
      <c r="L332" s="1210"/>
      <c r="M332" s="50"/>
      <c r="N332" s="50"/>
      <c r="T332" s="10"/>
      <c r="U332" s="10"/>
    </row>
    <row r="333" spans="1:21" ht="30" customHeight="1" x14ac:dyDescent="0.35">
      <c r="A333" s="401" t="s">
        <v>181</v>
      </c>
      <c r="B333" s="1265" t="s">
        <v>2867</v>
      </c>
      <c r="C333" s="1265"/>
      <c r="D333" s="1265"/>
      <c r="E333" s="531">
        <v>69000</v>
      </c>
      <c r="F333" s="187">
        <v>669</v>
      </c>
      <c r="G333" s="532"/>
      <c r="H333" s="533"/>
      <c r="I333" s="1217" t="s">
        <v>2860</v>
      </c>
      <c r="J333" s="1218"/>
      <c r="K333" s="187">
        <f>+F333</f>
        <v>669</v>
      </c>
      <c r="L333" s="401" t="s">
        <v>108</v>
      </c>
      <c r="M333" s="50"/>
      <c r="N333" s="50"/>
      <c r="O333" s="54"/>
      <c r="T333" s="10"/>
      <c r="U333" s="10"/>
    </row>
    <row r="334" spans="1:21" ht="30" customHeight="1" thickBot="1" x14ac:dyDescent="0.4">
      <c r="A334" s="186"/>
      <c r="B334" s="1264"/>
      <c r="C334" s="1264"/>
      <c r="D334" s="1264"/>
      <c r="E334" s="535"/>
      <c r="F334" s="536"/>
      <c r="G334" s="536"/>
      <c r="H334" s="537"/>
      <c r="I334" s="503"/>
      <c r="J334" s="538" t="s">
        <v>37</v>
      </c>
      <c r="K334" s="193">
        <f>K333</f>
        <v>669</v>
      </c>
      <c r="L334" s="186" t="s">
        <v>108</v>
      </c>
      <c r="M334" s="50"/>
      <c r="N334" s="50"/>
      <c r="O334" s="54"/>
      <c r="T334" s="10"/>
      <c r="U334" s="10"/>
    </row>
    <row r="335" spans="1:21" ht="30" customHeight="1" thickBot="1" x14ac:dyDescent="0.4">
      <c r="A335" s="1199"/>
      <c r="B335" s="1200"/>
      <c r="C335" s="1200"/>
      <c r="D335" s="1200"/>
      <c r="E335" s="1200"/>
      <c r="F335" s="1200"/>
      <c r="G335" s="1200"/>
      <c r="H335" s="1200"/>
      <c r="I335" s="1200"/>
      <c r="J335" s="1200"/>
      <c r="K335" s="1200"/>
      <c r="L335" s="1201"/>
      <c r="M335" s="50"/>
      <c r="O335" s="54"/>
      <c r="T335" s="10"/>
      <c r="U335" s="10"/>
    </row>
    <row r="336" spans="1:21" ht="30" customHeight="1" x14ac:dyDescent="0.35">
      <c r="A336" s="388" t="s">
        <v>1</v>
      </c>
      <c r="B336" s="389">
        <v>1341</v>
      </c>
      <c r="C336" s="453" t="s">
        <v>210</v>
      </c>
      <c r="D336" s="562"/>
      <c r="E336" s="392" t="s">
        <v>3</v>
      </c>
      <c r="F336" s="393" t="s">
        <v>40</v>
      </c>
      <c r="G336" s="390" t="s">
        <v>38</v>
      </c>
      <c r="H336" s="562">
        <v>3</v>
      </c>
      <c r="I336" s="392" t="s">
        <v>5</v>
      </c>
      <c r="J336" s="1304" t="s">
        <v>186</v>
      </c>
      <c r="K336" s="1304"/>
      <c r="L336" s="1224"/>
      <c r="M336" s="50"/>
      <c r="N336" s="50"/>
      <c r="O336" s="54"/>
      <c r="T336" s="10"/>
      <c r="U336" s="10"/>
    </row>
    <row r="337" spans="1:21" ht="30" customHeight="1" x14ac:dyDescent="0.35">
      <c r="A337" s="494" t="s">
        <v>187</v>
      </c>
      <c r="B337" s="1280" t="s">
        <v>211</v>
      </c>
      <c r="C337" s="1281"/>
      <c r="D337" s="1282"/>
      <c r="E337" s="566" t="s">
        <v>52</v>
      </c>
      <c r="F337" s="566" t="s">
        <v>53</v>
      </c>
      <c r="G337" s="1219" t="s">
        <v>54</v>
      </c>
      <c r="H337" s="1220"/>
      <c r="I337" s="1221" t="s">
        <v>188</v>
      </c>
      <c r="J337" s="1222"/>
      <c r="K337" s="1209" t="s">
        <v>180</v>
      </c>
      <c r="L337" s="1210"/>
      <c r="M337" s="50"/>
      <c r="N337" s="50"/>
      <c r="T337" s="10"/>
      <c r="U337" s="10"/>
    </row>
    <row r="338" spans="1:21" ht="30" customHeight="1" x14ac:dyDescent="0.35">
      <c r="A338" s="186" t="s">
        <v>212</v>
      </c>
      <c r="B338" s="1212" t="s">
        <v>213</v>
      </c>
      <c r="C338" s="1213"/>
      <c r="D338" s="1214"/>
      <c r="E338" s="194">
        <v>99</v>
      </c>
      <c r="F338" s="186" t="s">
        <v>108</v>
      </c>
      <c r="G338" s="117">
        <v>100</v>
      </c>
      <c r="H338" s="375" t="s">
        <v>214</v>
      </c>
      <c r="I338" s="1464">
        <v>1.22</v>
      </c>
      <c r="J338" s="1503"/>
      <c r="K338" s="194">
        <f>+E338*G338*I338</f>
        <v>12078</v>
      </c>
      <c r="L338" s="186" t="s">
        <v>40</v>
      </c>
      <c r="M338" s="50"/>
      <c r="N338" s="50"/>
    </row>
    <row r="339" spans="1:21" ht="30" customHeight="1" x14ac:dyDescent="0.35">
      <c r="A339" s="186"/>
      <c r="B339" s="1211" t="s">
        <v>215</v>
      </c>
      <c r="C339" s="1211"/>
      <c r="D339" s="1211"/>
      <c r="E339" s="194"/>
      <c r="F339" s="1215" t="s">
        <v>195</v>
      </c>
      <c r="G339" s="1273" t="s">
        <v>196</v>
      </c>
      <c r="H339" s="1273"/>
      <c r="I339" s="1273"/>
      <c r="J339" s="1273"/>
      <c r="K339" s="197">
        <v>1.06</v>
      </c>
      <c r="L339" s="186"/>
      <c r="M339" s="97"/>
      <c r="N339" s="50"/>
    </row>
    <row r="340" spans="1:21" ht="30" customHeight="1" x14ac:dyDescent="0.35">
      <c r="A340" s="186"/>
      <c r="B340" s="567"/>
      <c r="C340" s="567"/>
      <c r="D340" s="567"/>
      <c r="E340" s="194"/>
      <c r="F340" s="1216"/>
      <c r="G340" s="1268" t="s">
        <v>197</v>
      </c>
      <c r="H340" s="1268"/>
      <c r="I340" s="1268"/>
      <c r="J340" s="1268"/>
      <c r="K340" s="197">
        <v>1.06</v>
      </c>
      <c r="L340" s="186"/>
      <c r="N340" s="50"/>
    </row>
    <row r="341" spans="1:21" ht="30" customHeight="1" x14ac:dyDescent="0.35">
      <c r="A341" s="186"/>
      <c r="B341" s="186"/>
      <c r="C341" s="503"/>
      <c r="D341" s="503"/>
      <c r="E341" s="503"/>
      <c r="F341" s="503"/>
      <c r="G341" s="503"/>
      <c r="H341" s="503"/>
      <c r="I341" s="503"/>
      <c r="J341" s="551" t="s">
        <v>37</v>
      </c>
      <c r="K341" s="193">
        <f>+K338*K339/K340</f>
        <v>12078</v>
      </c>
      <c r="L341" s="186" t="s">
        <v>40</v>
      </c>
      <c r="M341" s="50"/>
      <c r="N341" s="50"/>
      <c r="O341" s="539"/>
      <c r="T341" s="10"/>
      <c r="U341" s="10"/>
    </row>
    <row r="342" spans="1:21" ht="30" customHeight="1" x14ac:dyDescent="0.35">
      <c r="A342" s="186"/>
      <c r="B342" s="186"/>
      <c r="C342" s="503"/>
      <c r="D342" s="503"/>
      <c r="E342" s="503"/>
      <c r="F342" s="503"/>
      <c r="G342" s="1374" t="s">
        <v>257</v>
      </c>
      <c r="H342" s="1375"/>
      <c r="I342" s="1376"/>
      <c r="J342" s="560">
        <f>VLOOKUP(B336,'Mil Cost Premiums for PUCs'!$A$4:$R$285,18,FALSE)</f>
        <v>1.0209999999999999</v>
      </c>
      <c r="K342" s="193">
        <f>+K341*J342</f>
        <v>12331.637999999999</v>
      </c>
      <c r="L342" s="186" t="s">
        <v>40</v>
      </c>
      <c r="M342" s="50"/>
      <c r="N342" s="50"/>
      <c r="O342" s="539"/>
      <c r="T342" s="53"/>
      <c r="U342" s="53"/>
    </row>
    <row r="343" spans="1:21" s="396" customFormat="1" ht="30" customHeight="1" x14ac:dyDescent="0.35">
      <c r="A343" s="569"/>
      <c r="B343" s="569"/>
      <c r="C343" s="510"/>
      <c r="D343" s="510"/>
      <c r="E343" s="510"/>
      <c r="F343" s="510"/>
      <c r="G343" s="1191" t="s">
        <v>2817</v>
      </c>
      <c r="H343" s="1192"/>
      <c r="I343" s="1193"/>
      <c r="J343" s="570">
        <v>1.1214</v>
      </c>
      <c r="K343" s="285">
        <f>+K342*J343</f>
        <v>13828.698853199998</v>
      </c>
      <c r="L343" s="569" t="s">
        <v>40</v>
      </c>
      <c r="M343" s="50"/>
      <c r="N343" s="50"/>
      <c r="O343" s="572"/>
      <c r="P343" s="384"/>
    </row>
    <row r="344" spans="1:21" ht="30" customHeight="1" thickBot="1" x14ac:dyDescent="0.4">
      <c r="A344" s="569"/>
      <c r="B344" s="569"/>
      <c r="C344" s="510"/>
      <c r="D344" s="510"/>
      <c r="E344" s="510"/>
      <c r="F344" s="510"/>
      <c r="G344" s="1191" t="s">
        <v>3000</v>
      </c>
      <c r="H344" s="1192"/>
      <c r="I344" s="1193"/>
      <c r="J344" s="570">
        <v>1.0438745311870332</v>
      </c>
      <c r="K344" s="285">
        <f>+K343*J344</f>
        <v>14435.426532310812</v>
      </c>
      <c r="L344" s="569" t="s">
        <v>40</v>
      </c>
      <c r="M344" s="50"/>
    </row>
    <row r="345" spans="1:21" ht="30" customHeight="1" thickBot="1" x14ac:dyDescent="0.4">
      <c r="A345" s="1199"/>
      <c r="B345" s="1200"/>
      <c r="C345" s="1200"/>
      <c r="D345" s="1200"/>
      <c r="E345" s="1200"/>
      <c r="F345" s="1200"/>
      <c r="G345" s="1200"/>
      <c r="H345" s="1200"/>
      <c r="I345" s="1200"/>
      <c r="J345" s="1200"/>
      <c r="K345" s="1200"/>
      <c r="L345" s="1201"/>
      <c r="M345" s="97"/>
      <c r="N345" s="50"/>
    </row>
    <row r="346" spans="1:21" ht="30" customHeight="1" x14ac:dyDescent="0.35">
      <c r="A346" s="571" t="s">
        <v>216</v>
      </c>
      <c r="B346" s="571">
        <v>1351</v>
      </c>
      <c r="C346" s="1345" t="s">
        <v>217</v>
      </c>
      <c r="D346" s="1346"/>
      <c r="E346" s="392" t="s">
        <v>3</v>
      </c>
      <c r="F346" s="525" t="s">
        <v>218</v>
      </c>
      <c r="G346" s="390" t="s">
        <v>2</v>
      </c>
      <c r="H346" s="135">
        <v>1</v>
      </c>
      <c r="I346" s="392" t="s">
        <v>5</v>
      </c>
      <c r="J346" s="1304" t="s">
        <v>2873</v>
      </c>
      <c r="K346" s="1305"/>
      <c r="L346" s="1306"/>
      <c r="N346" s="50"/>
    </row>
    <row r="347" spans="1:21" ht="30" customHeight="1" x14ac:dyDescent="0.35">
      <c r="A347" s="185" t="s">
        <v>177</v>
      </c>
      <c r="B347" s="399" t="s">
        <v>211</v>
      </c>
      <c r="C347" s="1540"/>
      <c r="D347" s="1210"/>
      <c r="E347" s="494" t="s">
        <v>52</v>
      </c>
      <c r="F347" s="494" t="s">
        <v>53</v>
      </c>
      <c r="G347" s="494" t="s">
        <v>54</v>
      </c>
      <c r="H347" s="494"/>
      <c r="I347" s="1221" t="s">
        <v>179</v>
      </c>
      <c r="J347" s="1222"/>
      <c r="K347" s="1209" t="s">
        <v>180</v>
      </c>
      <c r="L347" s="1210"/>
      <c r="M347" s="50"/>
      <c r="N347" s="50"/>
    </row>
    <row r="348" spans="1:21" ht="30" customHeight="1" x14ac:dyDescent="0.35">
      <c r="A348" s="401">
        <v>13510</v>
      </c>
      <c r="B348" s="1389" t="s">
        <v>2672</v>
      </c>
      <c r="C348" s="1390"/>
      <c r="D348" s="1391"/>
      <c r="E348" s="573">
        <v>8.9499999999999993</v>
      </c>
      <c r="F348" s="401" t="s">
        <v>28</v>
      </c>
      <c r="G348" s="574">
        <f>5280*2</f>
        <v>10560</v>
      </c>
      <c r="H348" s="401" t="s">
        <v>219</v>
      </c>
      <c r="I348" s="1189">
        <f>+'FY2024 MILCON Inflation Table'!F23</f>
        <v>0.93863689284411045</v>
      </c>
      <c r="J348" s="1190"/>
      <c r="K348" s="573">
        <f>+E348*I348*G348</f>
        <v>88712.450016482559</v>
      </c>
      <c r="L348" s="401" t="s">
        <v>218</v>
      </c>
      <c r="M348" s="50"/>
      <c r="N348" s="50"/>
      <c r="P348" s="9"/>
      <c r="Q348" s="5"/>
      <c r="U348" s="35"/>
    </row>
    <row r="349" spans="1:21" ht="30" customHeight="1" x14ac:dyDescent="0.35">
      <c r="A349" s="401">
        <v>13510</v>
      </c>
      <c r="B349" s="1389" t="s">
        <v>2673</v>
      </c>
      <c r="C349" s="1390"/>
      <c r="D349" s="1391"/>
      <c r="E349" s="573">
        <v>6602.92</v>
      </c>
      <c r="F349" s="401" t="s">
        <v>40</v>
      </c>
      <c r="G349" s="401">
        <v>6</v>
      </c>
      <c r="H349" s="401" t="s">
        <v>220</v>
      </c>
      <c r="I349" s="1189">
        <f>+I348</f>
        <v>0.93863689284411045</v>
      </c>
      <c r="J349" s="1190"/>
      <c r="K349" s="573">
        <f>+E349*I349*G349</f>
        <v>37186.465874989401</v>
      </c>
      <c r="L349" s="401" t="s">
        <v>218</v>
      </c>
      <c r="M349" s="50"/>
      <c r="N349" s="50"/>
      <c r="P349" s="9"/>
      <c r="Q349" s="5"/>
      <c r="U349" s="35"/>
    </row>
    <row r="350" spans="1:21" ht="30" customHeight="1" x14ac:dyDescent="0.35">
      <c r="A350" s="401">
        <v>13510</v>
      </c>
      <c r="B350" s="1389" t="s">
        <v>2674</v>
      </c>
      <c r="C350" s="1390"/>
      <c r="D350" s="1391"/>
      <c r="E350" s="573">
        <v>5375.27</v>
      </c>
      <c r="F350" s="401" t="s">
        <v>40</v>
      </c>
      <c r="G350" s="401">
        <v>6</v>
      </c>
      <c r="H350" s="401" t="s">
        <v>220</v>
      </c>
      <c r="I350" s="1189">
        <f>+I349</f>
        <v>0.93863689284411045</v>
      </c>
      <c r="J350" s="1190"/>
      <c r="K350" s="573">
        <f>+E350*I350*G350</f>
        <v>30272.560385988974</v>
      </c>
      <c r="L350" s="401" t="s">
        <v>218</v>
      </c>
      <c r="M350" s="50"/>
      <c r="N350" s="50"/>
      <c r="P350" s="9"/>
      <c r="Q350" s="5"/>
      <c r="U350" s="35"/>
    </row>
    <row r="351" spans="1:21" ht="30" customHeight="1" x14ac:dyDescent="0.35">
      <c r="A351" s="409">
        <v>81242</v>
      </c>
      <c r="B351" s="1186" t="s">
        <v>2926</v>
      </c>
      <c r="C351" s="1187"/>
      <c r="D351" s="1188"/>
      <c r="E351" s="578">
        <v>59.12</v>
      </c>
      <c r="F351" s="409" t="s">
        <v>28</v>
      </c>
      <c r="G351" s="409">
        <v>5280</v>
      </c>
      <c r="H351" s="401" t="s">
        <v>219</v>
      </c>
      <c r="I351" s="1189">
        <f>+I350</f>
        <v>0.93863689284411045</v>
      </c>
      <c r="J351" s="1190"/>
      <c r="K351" s="573">
        <f>+E351*I351*G351</f>
        <v>292998.88519410329</v>
      </c>
      <c r="L351" s="401" t="s">
        <v>218</v>
      </c>
      <c r="M351" s="50"/>
      <c r="N351" s="53"/>
      <c r="P351" s="9"/>
      <c r="Q351" s="5"/>
      <c r="U351" s="35"/>
    </row>
    <row r="352" spans="1:21" ht="30" customHeight="1" x14ac:dyDescent="0.35">
      <c r="A352" s="401"/>
      <c r="B352" s="1586"/>
      <c r="C352" s="1587"/>
      <c r="D352" s="1588"/>
      <c r="E352" s="573"/>
      <c r="F352" s="579"/>
      <c r="G352" s="580"/>
      <c r="H352" s="579"/>
      <c r="I352" s="581"/>
      <c r="J352" s="220" t="s">
        <v>223</v>
      </c>
      <c r="K352" s="573">
        <f>SUM(K348:K351)</f>
        <v>449170.36147156422</v>
      </c>
      <c r="L352" s="401" t="s">
        <v>218</v>
      </c>
      <c r="M352" s="50"/>
      <c r="P352" s="9"/>
      <c r="Q352" s="5"/>
      <c r="U352" s="35"/>
    </row>
    <row r="353" spans="1:13" customFormat="1" ht="30" customHeight="1" x14ac:dyDescent="0.35">
      <c r="A353" s="409">
        <v>81230</v>
      </c>
      <c r="B353" s="1186" t="s">
        <v>2927</v>
      </c>
      <c r="C353" s="1187"/>
      <c r="D353" s="1188"/>
      <c r="E353" s="578">
        <v>30.13</v>
      </c>
      <c r="F353" s="409" t="s">
        <v>28</v>
      </c>
      <c r="G353" s="409">
        <v>5280</v>
      </c>
      <c r="H353" s="401" t="s">
        <v>219</v>
      </c>
      <c r="I353" s="1189">
        <f>+I348</f>
        <v>0.93863689284411045</v>
      </c>
      <c r="J353" s="1190"/>
      <c r="K353" s="573">
        <f>+E353*I353*G353</f>
        <v>149324.36418975529</v>
      </c>
      <c r="L353" s="401" t="s">
        <v>218</v>
      </c>
      <c r="M353" s="50"/>
    </row>
    <row r="354" spans="1:13" customFormat="1" ht="30" customHeight="1" x14ac:dyDescent="0.35">
      <c r="A354" s="409"/>
      <c r="B354" s="582"/>
      <c r="C354" s="583"/>
      <c r="D354" s="584"/>
      <c r="E354" s="578"/>
      <c r="F354" s="585"/>
      <c r="G354" s="586"/>
      <c r="H354" s="585"/>
      <c r="I354" s="587"/>
      <c r="J354" s="588" t="s">
        <v>2551</v>
      </c>
      <c r="K354" s="578">
        <f>+(K352*0.53)+(K353*0.47)</f>
        <v>308242.742749114</v>
      </c>
      <c r="L354" s="401" t="s">
        <v>218</v>
      </c>
      <c r="M354" s="50"/>
    </row>
    <row r="355" spans="1:13" customFormat="1" ht="30" customHeight="1" thickBot="1" x14ac:dyDescent="0.4">
      <c r="A355" s="401"/>
      <c r="B355" s="1350" t="s">
        <v>2928</v>
      </c>
      <c r="C355" s="1351"/>
      <c r="D355" s="1351"/>
      <c r="E355" s="1352"/>
      <c r="F355" s="579"/>
      <c r="G355" s="580"/>
      <c r="H355" s="579"/>
      <c r="I355" s="581"/>
      <c r="J355" s="589" t="s">
        <v>37</v>
      </c>
      <c r="K355" s="573">
        <f>+K354</f>
        <v>308242.742749114</v>
      </c>
      <c r="L355" s="401" t="s">
        <v>218</v>
      </c>
      <c r="M355" s="50"/>
    </row>
    <row r="356" spans="1:13" customFormat="1" ht="30" customHeight="1" thickBot="1" x14ac:dyDescent="0.4">
      <c r="A356" s="1199"/>
      <c r="B356" s="1200"/>
      <c r="C356" s="1200"/>
      <c r="D356" s="1200"/>
      <c r="E356" s="1200"/>
      <c r="F356" s="1200"/>
      <c r="G356" s="1200"/>
      <c r="H356" s="1200"/>
      <c r="I356" s="1200"/>
      <c r="J356" s="1200"/>
      <c r="K356" s="1200"/>
      <c r="L356" s="1201"/>
      <c r="M356" s="50"/>
    </row>
    <row r="357" spans="1:13" customFormat="1" ht="30" customHeight="1" x14ac:dyDescent="0.35">
      <c r="A357" s="590" t="s">
        <v>1</v>
      </c>
      <c r="B357" s="591">
        <v>1352</v>
      </c>
      <c r="C357" s="1243" t="s">
        <v>2979</v>
      </c>
      <c r="D357" s="1244"/>
      <c r="E357" s="548" t="s">
        <v>3</v>
      </c>
      <c r="F357" s="549" t="s">
        <v>218</v>
      </c>
      <c r="G357" s="513" t="s">
        <v>2</v>
      </c>
      <c r="H357" s="592">
        <v>1</v>
      </c>
      <c r="I357" s="548" t="s">
        <v>5</v>
      </c>
      <c r="J357" s="1245" t="s">
        <v>2916</v>
      </c>
      <c r="K357" s="1246"/>
      <c r="L357" s="1247"/>
      <c r="M357" s="594"/>
    </row>
    <row r="358" spans="1:13" customFormat="1" ht="30" customHeight="1" x14ac:dyDescent="0.35">
      <c r="A358" s="446"/>
      <c r="B358" s="1248" t="s">
        <v>7</v>
      </c>
      <c r="C358" s="1248"/>
      <c r="D358" s="1248"/>
      <c r="E358" s="446" t="s">
        <v>52</v>
      </c>
      <c r="F358" s="446" t="s">
        <v>53</v>
      </c>
      <c r="G358" s="1294" t="s">
        <v>54</v>
      </c>
      <c r="H358" s="1294"/>
      <c r="I358" s="446" t="s">
        <v>55</v>
      </c>
      <c r="J358" s="446" t="s">
        <v>56</v>
      </c>
      <c r="K358" s="1294" t="s">
        <v>180</v>
      </c>
      <c r="L358" s="1294"/>
    </row>
    <row r="359" spans="1:13" customFormat="1" ht="30" customHeight="1" x14ac:dyDescent="0.35">
      <c r="A359" s="446"/>
      <c r="B359" s="1295" t="s">
        <v>2980</v>
      </c>
      <c r="C359" s="1295"/>
      <c r="D359" s="1295"/>
      <c r="E359" s="7">
        <v>31561.42</v>
      </c>
      <c r="F359" s="595" t="s">
        <v>218</v>
      </c>
      <c r="G359" s="1296"/>
      <c r="H359" s="1296"/>
      <c r="I359" s="596">
        <v>0.89</v>
      </c>
      <c r="J359" s="597">
        <v>1.0438745311870332</v>
      </c>
      <c r="K359" s="598">
        <f>+E359*I359*J359</f>
        <v>29322.084630426376</v>
      </c>
      <c r="L359" s="595" t="s">
        <v>218</v>
      </c>
    </row>
    <row r="360" spans="1:13" customFormat="1" ht="30" customHeight="1" x14ac:dyDescent="0.35">
      <c r="A360" s="446"/>
      <c r="B360" s="1295" t="s">
        <v>2981</v>
      </c>
      <c r="C360" s="1295"/>
      <c r="D360" s="1295"/>
      <c r="E360" s="7">
        <v>33106</v>
      </c>
      <c r="F360" s="595" t="s">
        <v>218</v>
      </c>
      <c r="G360" s="1297"/>
      <c r="H360" s="1298"/>
      <c r="I360" s="596">
        <v>1</v>
      </c>
      <c r="J360" s="597">
        <v>1.0438745311870332</v>
      </c>
      <c r="K360" s="598">
        <f>+E360*I360*J360</f>
        <v>34558.510229477921</v>
      </c>
      <c r="L360" s="595" t="s">
        <v>218</v>
      </c>
    </row>
    <row r="361" spans="1:13" customFormat="1" ht="30" customHeight="1" x14ac:dyDescent="0.35">
      <c r="A361" s="446"/>
      <c r="B361" s="1299" t="s">
        <v>2982</v>
      </c>
      <c r="C361" s="1300"/>
      <c r="D361" s="1301"/>
      <c r="E361" s="7">
        <v>60000</v>
      </c>
      <c r="F361" s="595" t="s">
        <v>218</v>
      </c>
      <c r="G361" s="1297"/>
      <c r="H361" s="1298"/>
      <c r="I361" s="596">
        <v>1</v>
      </c>
      <c r="J361" s="596">
        <v>1</v>
      </c>
      <c r="K361" s="598">
        <f>+E361*I361*J361</f>
        <v>60000</v>
      </c>
      <c r="L361" s="595" t="s">
        <v>218</v>
      </c>
    </row>
    <row r="362" spans="1:13" customFormat="1" ht="30" customHeight="1" x14ac:dyDescent="0.35">
      <c r="A362" s="446"/>
      <c r="B362" s="1295" t="s">
        <v>2983</v>
      </c>
      <c r="C362" s="1295"/>
      <c r="D362" s="1295"/>
      <c r="E362" s="7">
        <v>185000</v>
      </c>
      <c r="F362" s="595" t="s">
        <v>218</v>
      </c>
      <c r="G362" s="1296"/>
      <c r="H362" s="1296"/>
      <c r="I362" s="595">
        <v>1.22</v>
      </c>
      <c r="J362" s="595">
        <v>1.5901000000000001</v>
      </c>
      <c r="K362" s="598">
        <f>+E362*I362*J362</f>
        <v>358885.57</v>
      </c>
      <c r="L362" s="595" t="s">
        <v>218</v>
      </c>
    </row>
    <row r="363" spans="1:13" customFormat="1" ht="30" customHeight="1" x14ac:dyDescent="0.35">
      <c r="A363" s="446"/>
      <c r="B363" s="1295" t="s">
        <v>2984</v>
      </c>
      <c r="C363" s="1295"/>
      <c r="D363" s="1295"/>
      <c r="E363" s="7">
        <v>78500</v>
      </c>
      <c r="F363" s="595" t="s">
        <v>218</v>
      </c>
      <c r="G363" s="1296"/>
      <c r="H363" s="1296"/>
      <c r="I363" s="596">
        <v>1</v>
      </c>
      <c r="J363" s="595">
        <v>1.1706000000000001</v>
      </c>
      <c r="K363" s="598">
        <f>+E363*I363*J363</f>
        <v>91892.1</v>
      </c>
      <c r="L363" s="595" t="s">
        <v>218</v>
      </c>
    </row>
    <row r="364" spans="1:13" customFormat="1" ht="30" customHeight="1" x14ac:dyDescent="0.35">
      <c r="A364" s="420"/>
      <c r="B364" s="1295" t="s">
        <v>2985</v>
      </c>
      <c r="C364" s="1295"/>
      <c r="D364" s="1295"/>
      <c r="E364" s="7">
        <v>6.49</v>
      </c>
      <c r="F364" s="595" t="s">
        <v>222</v>
      </c>
      <c r="G364" s="1296">
        <v>5280</v>
      </c>
      <c r="H364" s="1296"/>
      <c r="I364" s="596">
        <v>1</v>
      </c>
      <c r="J364" s="597">
        <v>1.0438745311870332</v>
      </c>
      <c r="K364" s="598">
        <f>+E364*G364*I364*J364</f>
        <v>35770.657335092306</v>
      </c>
      <c r="L364" s="595" t="s">
        <v>218</v>
      </c>
    </row>
    <row r="365" spans="1:13" customFormat="1" ht="30" customHeight="1" x14ac:dyDescent="0.35">
      <c r="A365" s="420"/>
      <c r="B365" s="1302"/>
      <c r="C365" s="1302"/>
      <c r="D365" s="1302"/>
      <c r="E365" s="599"/>
      <c r="F365" s="595"/>
      <c r="G365" s="600"/>
      <c r="H365" s="600"/>
      <c r="I365" s="596"/>
      <c r="J365" s="601" t="s">
        <v>192</v>
      </c>
      <c r="K365" s="598">
        <f>AVERAGE(K359:K364)</f>
        <v>101738.1536991661</v>
      </c>
      <c r="L365" s="595" t="s">
        <v>218</v>
      </c>
    </row>
    <row r="366" spans="1:13" customFormat="1" ht="30" customHeight="1" thickBot="1" x14ac:dyDescent="0.4">
      <c r="A366" s="428"/>
      <c r="B366" s="1302" t="s">
        <v>2986</v>
      </c>
      <c r="C366" s="1302"/>
      <c r="D366" s="1302"/>
      <c r="E366" s="449"/>
      <c r="F366" s="450"/>
      <c r="G366" s="1303" t="s">
        <v>257</v>
      </c>
      <c r="H366" s="1303"/>
      <c r="I366" s="1303"/>
      <c r="J366" s="560">
        <f>VLOOKUP(B357,'Mil Cost Premiums for PUCs'!$A$4:$R$285,18,FALSE)</f>
        <v>1.0485669999999998</v>
      </c>
      <c r="K366" s="285">
        <f>+K365*J366</f>
        <v>106679.27060987348</v>
      </c>
      <c r="L366" s="450" t="s">
        <v>218</v>
      </c>
    </row>
    <row r="367" spans="1:13" customFormat="1" ht="30" customHeight="1" thickBot="1" x14ac:dyDescent="0.4">
      <c r="A367" s="1199"/>
      <c r="B367" s="1200"/>
      <c r="C367" s="1200"/>
      <c r="D367" s="1200"/>
      <c r="E367" s="1200"/>
      <c r="F367" s="1200"/>
      <c r="G367" s="1200"/>
      <c r="H367" s="1200"/>
      <c r="I367" s="1200"/>
      <c r="J367" s="1200"/>
      <c r="K367" s="1200"/>
      <c r="L367" s="1201"/>
    </row>
    <row r="368" spans="1:13" customFormat="1" ht="30" customHeight="1" x14ac:dyDescent="0.35">
      <c r="A368" s="602" t="s">
        <v>216</v>
      </c>
      <c r="B368" s="602">
        <v>1353</v>
      </c>
      <c r="C368" s="1243" t="s">
        <v>2987</v>
      </c>
      <c r="D368" s="1244"/>
      <c r="E368" s="548" t="s">
        <v>3</v>
      </c>
      <c r="F368" s="549" t="s">
        <v>218</v>
      </c>
      <c r="G368" s="513" t="s">
        <v>2</v>
      </c>
      <c r="H368" s="379">
        <v>1</v>
      </c>
      <c r="I368" s="548" t="s">
        <v>5</v>
      </c>
      <c r="J368" s="1304" t="s">
        <v>2873</v>
      </c>
      <c r="K368" s="1305"/>
      <c r="L368" s="1306"/>
      <c r="M368" s="594"/>
    </row>
    <row r="369" spans="1:21" customFormat="1" ht="30" customHeight="1" x14ac:dyDescent="0.35">
      <c r="A369" s="446" t="s">
        <v>177</v>
      </c>
      <c r="B369" s="603" t="s">
        <v>211</v>
      </c>
      <c r="C369" s="1259"/>
      <c r="D369" s="1250"/>
      <c r="E369" s="448" t="s">
        <v>52</v>
      </c>
      <c r="F369" s="448" t="s">
        <v>53</v>
      </c>
      <c r="G369" s="1249" t="s">
        <v>54</v>
      </c>
      <c r="H369" s="1250"/>
      <c r="I369" s="1225" t="s">
        <v>179</v>
      </c>
      <c r="J369" s="1226"/>
      <c r="K369" s="1249" t="s">
        <v>180</v>
      </c>
      <c r="L369" s="1250"/>
    </row>
    <row r="370" spans="1:21" customFormat="1" ht="30" customHeight="1" x14ac:dyDescent="0.35">
      <c r="A370" s="409">
        <v>13510</v>
      </c>
      <c r="B370" s="1186" t="s">
        <v>2988</v>
      </c>
      <c r="C370" s="1187"/>
      <c r="D370" s="1188"/>
      <c r="E370" s="578">
        <v>8.9499999999999993</v>
      </c>
      <c r="F370" s="409" t="s">
        <v>28</v>
      </c>
      <c r="G370" s="409">
        <v>5280</v>
      </c>
      <c r="H370" s="409" t="s">
        <v>2989</v>
      </c>
      <c r="I370" s="1189">
        <f>+'FY2024 MILCON Inflation Table'!F23</f>
        <v>0.93863689284411045</v>
      </c>
      <c r="J370" s="1190"/>
      <c r="K370" s="578">
        <f>+E370*I370*G370</f>
        <v>44356.225008241279</v>
      </c>
      <c r="L370" s="409" t="s">
        <v>218</v>
      </c>
    </row>
    <row r="371" spans="1:21" customFormat="1" ht="30" customHeight="1" x14ac:dyDescent="0.35">
      <c r="A371" s="409">
        <v>13510</v>
      </c>
      <c r="B371" s="1186" t="s">
        <v>2990</v>
      </c>
      <c r="C371" s="1187"/>
      <c r="D371" s="1188"/>
      <c r="E371" s="578">
        <v>2933.53</v>
      </c>
      <c r="F371" s="409" t="s">
        <v>40</v>
      </c>
      <c r="G371" s="409">
        <v>10</v>
      </c>
      <c r="H371" s="409" t="s">
        <v>220</v>
      </c>
      <c r="I371" s="1189">
        <f>+I370</f>
        <v>0.93863689284411045</v>
      </c>
      <c r="J371" s="1190"/>
      <c r="K371" s="578">
        <f>+E371*I371*G371</f>
        <v>27535.194842649835</v>
      </c>
      <c r="L371" s="409" t="s">
        <v>218</v>
      </c>
    </row>
    <row r="372" spans="1:21" customFormat="1" ht="30" customHeight="1" x14ac:dyDescent="0.35">
      <c r="A372" s="409">
        <v>81242</v>
      </c>
      <c r="B372" s="1186" t="s">
        <v>2991</v>
      </c>
      <c r="C372" s="1187"/>
      <c r="D372" s="1188"/>
      <c r="E372" s="578">
        <v>103.43</v>
      </c>
      <c r="F372" s="409" t="s">
        <v>28</v>
      </c>
      <c r="G372" s="409">
        <v>5280</v>
      </c>
      <c r="H372" s="409" t="s">
        <v>2989</v>
      </c>
      <c r="I372" s="1189">
        <f>+I371</f>
        <v>0.93863689284411045</v>
      </c>
      <c r="J372" s="1190"/>
      <c r="K372" s="578">
        <f>+E372*I372*G372</f>
        <v>512599.36900585436</v>
      </c>
      <c r="L372" s="409" t="s">
        <v>218</v>
      </c>
    </row>
    <row r="373" spans="1:21" customFormat="1" ht="30" customHeight="1" x14ac:dyDescent="0.35">
      <c r="A373" s="1312"/>
      <c r="B373" s="1341"/>
      <c r="C373" s="1341"/>
      <c r="D373" s="1341"/>
      <c r="E373" s="1341"/>
      <c r="F373" s="1341"/>
      <c r="G373" s="1341"/>
      <c r="H373" s="1341"/>
      <c r="I373" s="1313"/>
      <c r="J373" s="588" t="s">
        <v>223</v>
      </c>
      <c r="K373" s="578">
        <f>SUM(K370:K372)</f>
        <v>584490.78885674546</v>
      </c>
      <c r="L373" s="409" t="s">
        <v>218</v>
      </c>
    </row>
    <row r="374" spans="1:21" customFormat="1" ht="30" customHeight="1" x14ac:dyDescent="0.35">
      <c r="A374" s="409">
        <v>81230</v>
      </c>
      <c r="B374" s="1186" t="s">
        <v>2927</v>
      </c>
      <c r="C374" s="1187"/>
      <c r="D374" s="1188"/>
      <c r="E374" s="578">
        <v>30.13</v>
      </c>
      <c r="F374" s="409" t="s">
        <v>28</v>
      </c>
      <c r="G374" s="409">
        <v>5280</v>
      </c>
      <c r="H374" s="409" t="s">
        <v>2989</v>
      </c>
      <c r="I374" s="1189">
        <f>+I370</f>
        <v>0.93863689284411045</v>
      </c>
      <c r="J374" s="1190"/>
      <c r="K374" s="578">
        <f>+E374*I374*G374</f>
        <v>149324.36418975529</v>
      </c>
      <c r="L374" s="409" t="s">
        <v>218</v>
      </c>
    </row>
    <row r="375" spans="1:21" customFormat="1" ht="30" customHeight="1" thickBot="1" x14ac:dyDescent="0.4">
      <c r="A375" s="605"/>
      <c r="B375" s="1235" t="s">
        <v>2928</v>
      </c>
      <c r="C375" s="1236"/>
      <c r="D375" s="1237"/>
      <c r="E375" s="1257"/>
      <c r="F375" s="1258"/>
      <c r="G375" s="1238" t="s">
        <v>240</v>
      </c>
      <c r="H375" s="1239"/>
      <c r="I375" s="606"/>
      <c r="J375" s="607" t="s">
        <v>37</v>
      </c>
      <c r="K375" s="608">
        <f>+(K373*0.53)+(K374*0.47)</f>
        <v>379962.56926326011</v>
      </c>
      <c r="L375" s="605" t="s">
        <v>218</v>
      </c>
    </row>
    <row r="376" spans="1:21" customFormat="1" ht="30" customHeight="1" thickBot="1" x14ac:dyDescent="0.4">
      <c r="A376" s="1240"/>
      <c r="B376" s="1241"/>
      <c r="C376" s="1241"/>
      <c r="D376" s="1241"/>
      <c r="E376" s="1241"/>
      <c r="F376" s="1241"/>
      <c r="G376" s="1241"/>
      <c r="H376" s="1241"/>
      <c r="I376" s="1241"/>
      <c r="J376" s="1241"/>
      <c r="K376" s="1241"/>
      <c r="L376" s="1242"/>
    </row>
    <row r="377" spans="1:21" customFormat="1" ht="30" customHeight="1" x14ac:dyDescent="0.35">
      <c r="A377" s="602" t="s">
        <v>216</v>
      </c>
      <c r="B377" s="602">
        <v>1354</v>
      </c>
      <c r="C377" s="1243" t="s">
        <v>2987</v>
      </c>
      <c r="D377" s="1244"/>
      <c r="E377" s="548" t="s">
        <v>3</v>
      </c>
      <c r="F377" s="549" t="s">
        <v>218</v>
      </c>
      <c r="G377" s="513" t="s">
        <v>2</v>
      </c>
      <c r="H377" s="379">
        <v>1</v>
      </c>
      <c r="I377" s="548" t="s">
        <v>5</v>
      </c>
      <c r="J377" s="1245" t="s">
        <v>2916</v>
      </c>
      <c r="K377" s="1246"/>
      <c r="L377" s="1247"/>
      <c r="M377" s="594"/>
    </row>
    <row r="378" spans="1:21" customFormat="1" ht="30" customHeight="1" x14ac:dyDescent="0.35">
      <c r="A378" s="446"/>
      <c r="B378" s="1342" t="s">
        <v>7</v>
      </c>
      <c r="C378" s="1343"/>
      <c r="D378" s="1344"/>
      <c r="E378" s="448" t="s">
        <v>52</v>
      </c>
      <c r="F378" s="448" t="s">
        <v>53</v>
      </c>
      <c r="G378" s="1249" t="s">
        <v>54</v>
      </c>
      <c r="H378" s="1250"/>
      <c r="I378" s="1225" t="s">
        <v>179</v>
      </c>
      <c r="J378" s="1226"/>
      <c r="K378" s="1249" t="s">
        <v>180</v>
      </c>
      <c r="L378" s="1250"/>
    </row>
    <row r="379" spans="1:21" customFormat="1" ht="30" customHeight="1" x14ac:dyDescent="0.35">
      <c r="A379" s="409"/>
      <c r="B379" s="1186" t="s">
        <v>2997</v>
      </c>
      <c r="C379" s="1187"/>
      <c r="D379" s="1188"/>
      <c r="E379" s="578">
        <v>15.55</v>
      </c>
      <c r="F379" s="409" t="s">
        <v>28</v>
      </c>
      <c r="G379" s="409">
        <v>5280</v>
      </c>
      <c r="H379" s="409" t="s">
        <v>2989</v>
      </c>
      <c r="I379" s="1189">
        <f>+'FY2024 MILCON Inflation Table'!F19</f>
        <v>1.0438745311870332</v>
      </c>
      <c r="J379" s="1190"/>
      <c r="K379" s="578">
        <f>+E379*I379*G379</f>
        <v>85706.274508580187</v>
      </c>
      <c r="L379" s="409" t="s">
        <v>218</v>
      </c>
    </row>
    <row r="380" spans="1:21" customFormat="1" ht="30" customHeight="1" x14ac:dyDescent="0.35">
      <c r="A380" s="409"/>
      <c r="B380" s="1186" t="s">
        <v>2998</v>
      </c>
      <c r="C380" s="1187"/>
      <c r="D380" s="1188"/>
      <c r="E380" s="578">
        <v>14.56</v>
      </c>
      <c r="F380" s="409" t="s">
        <v>28</v>
      </c>
      <c r="G380" s="409">
        <v>5280</v>
      </c>
      <c r="H380" s="409" t="s">
        <v>2989</v>
      </c>
      <c r="I380" s="1189">
        <f>+'FY2024 MILCON Inflation Table'!F19</f>
        <v>1.0438745311870332</v>
      </c>
      <c r="J380" s="1190"/>
      <c r="K380" s="578">
        <f>+E380*I380*G380</f>
        <v>80249.733559159315</v>
      </c>
      <c r="L380" s="409" t="s">
        <v>218</v>
      </c>
    </row>
    <row r="381" spans="1:21" customFormat="1" ht="30" customHeight="1" x14ac:dyDescent="0.35">
      <c r="A381" s="409"/>
      <c r="B381" s="1186" t="s">
        <v>2992</v>
      </c>
      <c r="C381" s="1187"/>
      <c r="D381" s="1188"/>
      <c r="E381" s="578">
        <v>40000</v>
      </c>
      <c r="F381" s="409" t="s">
        <v>218</v>
      </c>
      <c r="G381" s="409"/>
      <c r="H381" s="409"/>
      <c r="I381" s="1189">
        <f>+'FY2024 MILCON Inflation Table'!F19</f>
        <v>1.0438745311870332</v>
      </c>
      <c r="J381" s="1190"/>
      <c r="K381" s="578">
        <f>+E381*I381</f>
        <v>41754.98124748133</v>
      </c>
      <c r="L381" s="409" t="s">
        <v>218</v>
      </c>
    </row>
    <row r="382" spans="1:21" customFormat="1" ht="30" customHeight="1" x14ac:dyDescent="0.35">
      <c r="A382" s="409"/>
      <c r="B382" s="1186" t="s">
        <v>2999</v>
      </c>
      <c r="C382" s="1187"/>
      <c r="D382" s="1188"/>
      <c r="E382" s="578">
        <v>90000</v>
      </c>
      <c r="F382" s="409" t="s">
        <v>2993</v>
      </c>
      <c r="G382" s="409">
        <v>1.609</v>
      </c>
      <c r="H382" s="409" t="s">
        <v>2994</v>
      </c>
      <c r="I382" s="1189">
        <v>1.6540999999999999</v>
      </c>
      <c r="J382" s="1190"/>
      <c r="K382" s="578">
        <f>+E382*G382*I382</f>
        <v>239530.22099999999</v>
      </c>
      <c r="L382" s="409" t="s">
        <v>218</v>
      </c>
    </row>
    <row r="383" spans="1:21" ht="30" customHeight="1" x14ac:dyDescent="0.35">
      <c r="A383" s="409"/>
      <c r="B383" s="1186" t="s">
        <v>2995</v>
      </c>
      <c r="C383" s="1187"/>
      <c r="D383" s="1188"/>
      <c r="E383" s="578">
        <v>86000</v>
      </c>
      <c r="F383" s="409" t="s">
        <v>218</v>
      </c>
      <c r="G383" s="409"/>
      <c r="H383" s="409"/>
      <c r="I383" s="1189">
        <v>1.0439000000000001</v>
      </c>
      <c r="J383" s="1190"/>
      <c r="K383" s="578">
        <f>+E383*I383</f>
        <v>89775.400000000009</v>
      </c>
      <c r="L383" s="409" t="s">
        <v>218</v>
      </c>
      <c r="M383"/>
      <c r="P383" s="9"/>
      <c r="Q383" s="5"/>
      <c r="U383" s="35"/>
    </row>
    <row r="384" spans="1:21" s="396" customFormat="1" ht="30" customHeight="1" x14ac:dyDescent="0.35">
      <c r="A384" s="514"/>
      <c r="B384" s="1234"/>
      <c r="C384" s="1234"/>
      <c r="D384" s="1234"/>
      <c r="E384" s="514"/>
      <c r="F384" s="514"/>
      <c r="G384" s="514"/>
      <c r="H384" s="514"/>
      <c r="I384" s="514"/>
      <c r="J384" s="588" t="s">
        <v>2551</v>
      </c>
      <c r="K384" s="578">
        <f>AVERAGE(K379:K383)</f>
        <v>107403.32206304415</v>
      </c>
      <c r="L384" s="409" t="s">
        <v>218</v>
      </c>
      <c r="M384"/>
      <c r="N384" s="50"/>
      <c r="O384" s="572"/>
      <c r="P384" s="384"/>
    </row>
    <row r="385" spans="1:21" ht="30" customHeight="1" thickBot="1" x14ac:dyDescent="0.4">
      <c r="A385" s="605"/>
      <c r="B385" s="1235" t="s">
        <v>2996</v>
      </c>
      <c r="C385" s="1236"/>
      <c r="D385" s="1236"/>
      <c r="E385" s="1236"/>
      <c r="F385" s="1237"/>
      <c r="G385" s="1238"/>
      <c r="H385" s="1239"/>
      <c r="I385" s="606"/>
      <c r="J385" s="607" t="s">
        <v>37</v>
      </c>
      <c r="K385" s="608">
        <f>+K384</f>
        <v>107403.32206304415</v>
      </c>
      <c r="L385" s="605" t="s">
        <v>218</v>
      </c>
      <c r="M385"/>
    </row>
    <row r="386" spans="1:21" ht="30" customHeight="1" thickBot="1" x14ac:dyDescent="0.4">
      <c r="A386" s="1240"/>
      <c r="B386" s="1241"/>
      <c r="C386" s="1241"/>
      <c r="D386" s="1241"/>
      <c r="E386" s="1241"/>
      <c r="F386" s="1241"/>
      <c r="G386" s="1241"/>
      <c r="H386" s="1241"/>
      <c r="I386" s="1241"/>
      <c r="J386" s="1241"/>
      <c r="K386" s="1241"/>
      <c r="L386" s="1242"/>
      <c r="M386"/>
    </row>
    <row r="387" spans="1:21" ht="30" customHeight="1" x14ac:dyDescent="0.35">
      <c r="A387" s="612" t="s">
        <v>1</v>
      </c>
      <c r="B387" s="613">
        <v>1361</v>
      </c>
      <c r="C387" s="1757" t="s">
        <v>225</v>
      </c>
      <c r="D387" s="1758"/>
      <c r="E387" s="614" t="s">
        <v>3</v>
      </c>
      <c r="F387" s="615" t="s">
        <v>28</v>
      </c>
      <c r="G387" s="616" t="s">
        <v>2</v>
      </c>
      <c r="H387" s="177">
        <v>10000</v>
      </c>
      <c r="I387" s="614" t="s">
        <v>5</v>
      </c>
      <c r="J387" s="1304" t="s">
        <v>2873</v>
      </c>
      <c r="K387" s="1305"/>
      <c r="L387" s="1306"/>
      <c r="M387" s="97"/>
    </row>
    <row r="388" spans="1:21" ht="30" customHeight="1" x14ac:dyDescent="0.35">
      <c r="A388" s="185" t="s">
        <v>177</v>
      </c>
      <c r="B388" s="1272" t="s">
        <v>7</v>
      </c>
      <c r="C388" s="1272"/>
      <c r="D388" s="1272"/>
      <c r="E388" s="494" t="s">
        <v>52</v>
      </c>
      <c r="F388" s="494" t="s">
        <v>53</v>
      </c>
      <c r="G388" s="1249" t="s">
        <v>54</v>
      </c>
      <c r="H388" s="1250"/>
      <c r="I388" s="1221" t="s">
        <v>179</v>
      </c>
      <c r="J388" s="1222"/>
      <c r="K388" s="1209" t="s">
        <v>180</v>
      </c>
      <c r="L388" s="1210"/>
      <c r="M388" s="50"/>
    </row>
    <row r="389" spans="1:21" ht="30" customHeight="1" x14ac:dyDescent="0.35">
      <c r="A389" s="401">
        <v>11110</v>
      </c>
      <c r="B389" s="1389" t="s">
        <v>2722</v>
      </c>
      <c r="C389" s="1390"/>
      <c r="D389" s="1391"/>
      <c r="E389" s="573">
        <v>4570.0200000000004</v>
      </c>
      <c r="F389" s="401" t="s">
        <v>40</v>
      </c>
      <c r="G389" s="574">
        <v>50</v>
      </c>
      <c r="H389" s="401" t="s">
        <v>1749</v>
      </c>
      <c r="I389" s="1189">
        <f>+'FY2024 MILCON Inflation Table'!F23</f>
        <v>0.93863689284411045</v>
      </c>
      <c r="J389" s="1190"/>
      <c r="K389" s="573">
        <f>+E389/G389*I389</f>
        <v>85.791787460708832</v>
      </c>
      <c r="L389" s="401" t="s">
        <v>28</v>
      </c>
      <c r="M389" s="50"/>
    </row>
    <row r="390" spans="1:21" ht="30" customHeight="1" x14ac:dyDescent="0.35">
      <c r="A390" s="401">
        <v>11110</v>
      </c>
      <c r="B390" s="1389" t="s">
        <v>2968</v>
      </c>
      <c r="C390" s="1390"/>
      <c r="D390" s="1391"/>
      <c r="E390" s="578">
        <v>4221.55</v>
      </c>
      <c r="F390" s="401" t="s">
        <v>40</v>
      </c>
      <c r="G390" s="574">
        <v>50</v>
      </c>
      <c r="H390" s="401" t="s">
        <v>1749</v>
      </c>
      <c r="I390" s="1189">
        <f>+'FY2024 MILCON Inflation Table'!F23</f>
        <v>0.93863689284411045</v>
      </c>
      <c r="J390" s="1190"/>
      <c r="K390" s="573">
        <f>+E390/G390*I390</f>
        <v>79.250051499721081</v>
      </c>
      <c r="L390" s="401" t="s">
        <v>28</v>
      </c>
      <c r="M390" s="50"/>
      <c r="P390" s="9"/>
      <c r="Q390" s="5"/>
      <c r="U390" s="35"/>
    </row>
    <row r="391" spans="1:21" ht="30" customHeight="1" x14ac:dyDescent="0.35">
      <c r="A391" s="401">
        <v>11110</v>
      </c>
      <c r="B391" s="1389" t="s">
        <v>2723</v>
      </c>
      <c r="C391" s="1390"/>
      <c r="D391" s="1391"/>
      <c r="E391" s="573">
        <v>3524.63</v>
      </c>
      <c r="F391" s="401" t="s">
        <v>40</v>
      </c>
      <c r="G391" s="574">
        <v>25</v>
      </c>
      <c r="H391" s="401" t="s">
        <v>1749</v>
      </c>
      <c r="I391" s="1189">
        <f>+I389</f>
        <v>0.93863689284411045</v>
      </c>
      <c r="J391" s="1190"/>
      <c r="K391" s="573">
        <f>+E391/G391*I391</f>
        <v>132.33391006500548</v>
      </c>
      <c r="L391" s="401" t="s">
        <v>28</v>
      </c>
      <c r="M391" s="50"/>
      <c r="P391" s="9"/>
      <c r="Q391" s="5"/>
      <c r="U391" s="35"/>
    </row>
    <row r="392" spans="1:21" ht="30" customHeight="1" x14ac:dyDescent="0.35">
      <c r="A392" s="401">
        <v>11110</v>
      </c>
      <c r="B392" s="1389" t="s">
        <v>2724</v>
      </c>
      <c r="C392" s="1390"/>
      <c r="D392" s="1391"/>
      <c r="E392" s="573">
        <v>3179.43</v>
      </c>
      <c r="F392" s="401" t="s">
        <v>40</v>
      </c>
      <c r="G392" s="617">
        <f>112/H387</f>
        <v>1.12E-2</v>
      </c>
      <c r="H392" s="401" t="s">
        <v>1749</v>
      </c>
      <c r="I392" s="1189">
        <f>+I391</f>
        <v>0.93863689284411045</v>
      </c>
      <c r="J392" s="1190"/>
      <c r="K392" s="573">
        <f>+E392*G392*I392</f>
        <v>33.424499317611918</v>
      </c>
      <c r="L392" s="401" t="s">
        <v>28</v>
      </c>
      <c r="M392" s="50"/>
      <c r="N392" s="50"/>
      <c r="T392" s="53"/>
      <c r="U392" s="53"/>
    </row>
    <row r="393" spans="1:21" s="396" customFormat="1" ht="30" customHeight="1" x14ac:dyDescent="0.35">
      <c r="A393" s="401">
        <v>11110</v>
      </c>
      <c r="B393" s="1389" t="s">
        <v>2726</v>
      </c>
      <c r="C393" s="1390"/>
      <c r="D393" s="1391"/>
      <c r="E393" s="573">
        <v>4098.26</v>
      </c>
      <c r="F393" s="401" t="s">
        <v>40</v>
      </c>
      <c r="G393" s="617">
        <f>60*6/H387</f>
        <v>3.5999999999999997E-2</v>
      </c>
      <c r="H393" s="401" t="s">
        <v>1749</v>
      </c>
      <c r="I393" s="1189">
        <f>+I392</f>
        <v>0.93863689284411045</v>
      </c>
      <c r="J393" s="1190"/>
      <c r="K393" s="573">
        <f>+E393*G393*I393</f>
        <v>138.48400916882295</v>
      </c>
      <c r="L393" s="401" t="s">
        <v>28</v>
      </c>
      <c r="M393" s="50"/>
      <c r="N393" s="50"/>
      <c r="O393" s="384"/>
      <c r="P393" s="384"/>
    </row>
    <row r="394" spans="1:21" ht="30" customHeight="1" x14ac:dyDescent="0.35">
      <c r="A394" s="1236" t="s">
        <v>2725</v>
      </c>
      <c r="B394" s="1236"/>
      <c r="C394" s="1236"/>
      <c r="D394" s="1755"/>
      <c r="E394" s="618"/>
      <c r="F394" s="618"/>
      <c r="G394" s="619"/>
      <c r="H394" s="161"/>
      <c r="I394" s="620"/>
      <c r="J394" s="621" t="s">
        <v>223</v>
      </c>
      <c r="K394" s="622">
        <f>SUM(K389:K393)</f>
        <v>469.28425751187024</v>
      </c>
      <c r="L394" s="401" t="s">
        <v>28</v>
      </c>
      <c r="M394" s="50"/>
      <c r="N394" s="130"/>
    </row>
    <row r="395" spans="1:21" ht="30" customHeight="1" thickBot="1" x14ac:dyDescent="0.4">
      <c r="A395" s="1697"/>
      <c r="B395" s="1697"/>
      <c r="C395" s="1697"/>
      <c r="D395" s="1756"/>
      <c r="E395" s="623"/>
      <c r="F395" s="624"/>
      <c r="G395" s="625"/>
      <c r="H395" s="626"/>
      <c r="I395" s="627"/>
      <c r="J395" s="628" t="s">
        <v>37</v>
      </c>
      <c r="K395" s="622">
        <f>+K394</f>
        <v>469.28425751187024</v>
      </c>
      <c r="L395" s="401" t="s">
        <v>28</v>
      </c>
      <c r="M395" s="50"/>
    </row>
    <row r="396" spans="1:21" ht="30" customHeight="1" thickBot="1" x14ac:dyDescent="0.4">
      <c r="A396" s="1199"/>
      <c r="B396" s="1200"/>
      <c r="C396" s="1200"/>
      <c r="D396" s="1200"/>
      <c r="E396" s="1200"/>
      <c r="F396" s="1200"/>
      <c r="G396" s="1200"/>
      <c r="H396" s="1200"/>
      <c r="I396" s="1200"/>
      <c r="J396" s="1200"/>
      <c r="K396" s="1200"/>
      <c r="L396" s="1201"/>
      <c r="M396" s="9"/>
    </row>
    <row r="397" spans="1:21" ht="30" customHeight="1" x14ac:dyDescent="0.35">
      <c r="A397" s="388" t="s">
        <v>1</v>
      </c>
      <c r="B397" s="389">
        <v>1362</v>
      </c>
      <c r="C397" s="1205" t="s">
        <v>226</v>
      </c>
      <c r="D397" s="1206"/>
      <c r="E397" s="392" t="s">
        <v>3</v>
      </c>
      <c r="F397" s="525" t="s">
        <v>40</v>
      </c>
      <c r="G397" s="394" t="s">
        <v>2</v>
      </c>
      <c r="H397" s="132">
        <v>1</v>
      </c>
      <c r="I397" s="614" t="s">
        <v>5</v>
      </c>
      <c r="J397" s="1304" t="s">
        <v>2873</v>
      </c>
      <c r="K397" s="1305"/>
      <c r="L397" s="1306"/>
      <c r="M397" s="99"/>
      <c r="T397" s="10"/>
      <c r="U397" s="10"/>
    </row>
    <row r="398" spans="1:21" s="396" customFormat="1" ht="30" customHeight="1" x14ac:dyDescent="0.35">
      <c r="A398" s="185" t="s">
        <v>177</v>
      </c>
      <c r="B398" s="1272" t="s">
        <v>7</v>
      </c>
      <c r="C398" s="1272"/>
      <c r="D398" s="1272"/>
      <c r="E398" s="494" t="s">
        <v>52</v>
      </c>
      <c r="F398" s="494" t="s">
        <v>53</v>
      </c>
      <c r="G398" s="1249" t="s">
        <v>54</v>
      </c>
      <c r="H398" s="1250"/>
      <c r="I398" s="1221" t="s">
        <v>179</v>
      </c>
      <c r="J398" s="1222"/>
      <c r="K398" s="1209" t="s">
        <v>180</v>
      </c>
      <c r="L398" s="1210"/>
      <c r="M398" s="11"/>
      <c r="N398" s="50"/>
      <c r="O398" s="539"/>
      <c r="P398" s="384"/>
    </row>
    <row r="399" spans="1:21" ht="30" customHeight="1" x14ac:dyDescent="0.35">
      <c r="A399" s="401">
        <v>11110</v>
      </c>
      <c r="B399" s="1389" t="s">
        <v>2969</v>
      </c>
      <c r="C399" s="1390"/>
      <c r="D399" s="1391"/>
      <c r="E399" s="573">
        <v>2918.91</v>
      </c>
      <c r="F399" s="401" t="s">
        <v>40</v>
      </c>
      <c r="G399" s="617"/>
      <c r="H399" s="401"/>
      <c r="I399" s="1189">
        <f>+'FY2024 MILCON Inflation Table'!F23</f>
        <v>0.93863689284411045</v>
      </c>
      <c r="J399" s="1190"/>
      <c r="K399" s="573">
        <f>+E399*I399</f>
        <v>2739.7966128916023</v>
      </c>
      <c r="L399" s="401" t="s">
        <v>40</v>
      </c>
      <c r="M399" s="50"/>
      <c r="N399" s="50"/>
    </row>
    <row r="400" spans="1:21" ht="30" customHeight="1" x14ac:dyDescent="0.35">
      <c r="A400" s="401">
        <v>11110</v>
      </c>
      <c r="B400" s="1389" t="s">
        <v>2970</v>
      </c>
      <c r="C400" s="1390"/>
      <c r="D400" s="1391"/>
      <c r="E400" s="573">
        <v>2221.98</v>
      </c>
      <c r="F400" s="401" t="s">
        <v>40</v>
      </c>
      <c r="G400" s="617"/>
      <c r="H400" s="401"/>
      <c r="I400" s="1189">
        <f>+I399</f>
        <v>0.93863689284411045</v>
      </c>
      <c r="J400" s="1190"/>
      <c r="K400" s="573">
        <f>+E400*I400</f>
        <v>2085.6324031617564</v>
      </c>
      <c r="L400" s="401" t="s">
        <v>40</v>
      </c>
      <c r="M400" s="50"/>
      <c r="N400" s="50"/>
    </row>
    <row r="401" spans="1:21" ht="30" customHeight="1" x14ac:dyDescent="0.35">
      <c r="A401" s="1392" t="s">
        <v>2971</v>
      </c>
      <c r="B401" s="1393"/>
      <c r="C401" s="1393"/>
      <c r="D401" s="1322"/>
      <c r="E401" s="456"/>
      <c r="F401" s="457"/>
      <c r="G401" s="407"/>
      <c r="H401" s="262"/>
      <c r="I401" s="1748" t="s">
        <v>2551</v>
      </c>
      <c r="J401" s="1749"/>
      <c r="K401" s="629">
        <f>AVERAGE(K399:K400)</f>
        <v>2412.7145080266791</v>
      </c>
      <c r="L401" s="407" t="s">
        <v>40</v>
      </c>
      <c r="O401" s="631"/>
      <c r="T401" s="10"/>
      <c r="U401" s="10"/>
    </row>
    <row r="402" spans="1:21" ht="30" customHeight="1" thickBot="1" x14ac:dyDescent="0.4">
      <c r="A402" s="1323"/>
      <c r="B402" s="1324"/>
      <c r="C402" s="1324"/>
      <c r="D402" s="1325"/>
      <c r="E402" s="1350"/>
      <c r="F402" s="1351"/>
      <c r="G402" s="1351"/>
      <c r="H402" s="1352"/>
      <c r="I402" s="492"/>
      <c r="J402" s="492" t="s">
        <v>37</v>
      </c>
      <c r="K402" s="629">
        <f>+K401/H397</f>
        <v>2412.7145080266791</v>
      </c>
      <c r="L402" s="630" t="s">
        <v>40</v>
      </c>
      <c r="M402" s="50"/>
      <c r="N402" s="50"/>
      <c r="T402" s="53"/>
      <c r="U402" s="53"/>
    </row>
    <row r="403" spans="1:21" s="396" customFormat="1" ht="30" customHeight="1" thickBot="1" x14ac:dyDescent="0.4">
      <c r="A403" s="1199"/>
      <c r="B403" s="1200"/>
      <c r="C403" s="1200"/>
      <c r="D403" s="1200"/>
      <c r="E403" s="1200"/>
      <c r="F403" s="1200"/>
      <c r="G403" s="1200"/>
      <c r="H403" s="1200"/>
      <c r="I403" s="1200"/>
      <c r="J403" s="1200"/>
      <c r="K403" s="1200"/>
      <c r="L403" s="1201"/>
      <c r="M403" s="50"/>
      <c r="N403" s="50"/>
      <c r="O403" s="384"/>
      <c r="P403" s="384"/>
    </row>
    <row r="404" spans="1:21" ht="30" customHeight="1" x14ac:dyDescent="0.35">
      <c r="A404" s="388" t="s">
        <v>1</v>
      </c>
      <c r="B404" s="389">
        <v>1371</v>
      </c>
      <c r="C404" s="1290" t="s">
        <v>227</v>
      </c>
      <c r="D404" s="1291"/>
      <c r="E404" s="392" t="s">
        <v>3</v>
      </c>
      <c r="F404" s="393" t="s">
        <v>108</v>
      </c>
      <c r="G404" s="390" t="s">
        <v>38</v>
      </c>
      <c r="H404" s="135">
        <v>242.25</v>
      </c>
      <c r="I404" s="392" t="s">
        <v>5</v>
      </c>
      <c r="J404" s="1304" t="s">
        <v>2861</v>
      </c>
      <c r="K404" s="1305"/>
      <c r="L404" s="1306"/>
      <c r="M404" s="50"/>
      <c r="N404" s="50"/>
    </row>
    <row r="405" spans="1:21" ht="30" customHeight="1" x14ac:dyDescent="0.35">
      <c r="A405" s="185" t="s">
        <v>177</v>
      </c>
      <c r="B405" s="1272" t="s">
        <v>7</v>
      </c>
      <c r="C405" s="1272"/>
      <c r="D405" s="1272"/>
      <c r="E405" s="492" t="s">
        <v>178</v>
      </c>
      <c r="F405" s="397" t="s">
        <v>52</v>
      </c>
      <c r="G405" s="185"/>
      <c r="H405" s="185"/>
      <c r="I405" s="1221" t="s">
        <v>179</v>
      </c>
      <c r="J405" s="1222"/>
      <c r="K405" s="1209" t="s">
        <v>180</v>
      </c>
      <c r="L405" s="1210"/>
      <c r="N405" s="50"/>
    </row>
    <row r="406" spans="1:21" ht="30" customHeight="1" x14ac:dyDescent="0.35">
      <c r="A406" s="401" t="s">
        <v>181</v>
      </c>
      <c r="B406" s="1265" t="s">
        <v>182</v>
      </c>
      <c r="C406" s="1265"/>
      <c r="D406" s="1265"/>
      <c r="E406" s="531">
        <v>100000</v>
      </c>
      <c r="F406" s="187">
        <v>659</v>
      </c>
      <c r="G406" s="532"/>
      <c r="H406" s="533"/>
      <c r="I406" s="1217" t="s">
        <v>2860</v>
      </c>
      <c r="J406" s="1218"/>
      <c r="K406" s="187">
        <f>F406</f>
        <v>659</v>
      </c>
      <c r="L406" s="401" t="s">
        <v>108</v>
      </c>
      <c r="M406" s="50"/>
      <c r="T406" s="10"/>
      <c r="U406" s="10"/>
    </row>
    <row r="407" spans="1:21" ht="30" customHeight="1" thickBot="1" x14ac:dyDescent="0.4">
      <c r="A407" s="186"/>
      <c r="B407" s="1264"/>
      <c r="C407" s="1264"/>
      <c r="D407" s="1264"/>
      <c r="E407" s="535"/>
      <c r="F407" s="536"/>
      <c r="G407" s="536"/>
      <c r="H407" s="537"/>
      <c r="I407" s="503"/>
      <c r="J407" s="494" t="s">
        <v>37</v>
      </c>
      <c r="K407" s="193">
        <f>K406</f>
        <v>659</v>
      </c>
      <c r="L407" s="186" t="s">
        <v>108</v>
      </c>
      <c r="M407" s="50"/>
      <c r="N407" s="50"/>
      <c r="T407" s="53"/>
      <c r="U407" s="53"/>
    </row>
    <row r="408" spans="1:21" ht="30" customHeight="1" thickBot="1" x14ac:dyDescent="0.4">
      <c r="A408" s="1199"/>
      <c r="B408" s="1200"/>
      <c r="C408" s="1200"/>
      <c r="D408" s="1200"/>
      <c r="E408" s="1200"/>
      <c r="F408" s="1200"/>
      <c r="G408" s="1200"/>
      <c r="H408" s="1200"/>
      <c r="I408" s="1200"/>
      <c r="J408" s="1200"/>
      <c r="K408" s="1200"/>
      <c r="L408" s="1201"/>
      <c r="M408" s="50"/>
      <c r="N408" s="50"/>
      <c r="T408" s="53"/>
      <c r="U408" s="53"/>
    </row>
    <row r="409" spans="1:21" ht="30" customHeight="1" x14ac:dyDescent="0.35">
      <c r="A409" s="388" t="s">
        <v>1</v>
      </c>
      <c r="B409" s="389">
        <v>1381</v>
      </c>
      <c r="C409" s="1288" t="s">
        <v>228</v>
      </c>
      <c r="D409" s="1289"/>
      <c r="E409" s="392" t="s">
        <v>3</v>
      </c>
      <c r="F409" s="393" t="s">
        <v>40</v>
      </c>
      <c r="G409" s="390" t="s">
        <v>38</v>
      </c>
      <c r="H409" s="562">
        <v>1</v>
      </c>
      <c r="I409" s="392" t="s">
        <v>5</v>
      </c>
      <c r="J409" s="1207" t="s">
        <v>2874</v>
      </c>
      <c r="K409" s="1207"/>
      <c r="L409" s="1208"/>
      <c r="M409" s="50"/>
      <c r="N409" s="50"/>
      <c r="T409" s="53"/>
      <c r="U409" s="53"/>
    </row>
    <row r="410" spans="1:21" ht="30" customHeight="1" x14ac:dyDescent="0.35">
      <c r="A410" s="494" t="s">
        <v>187</v>
      </c>
      <c r="B410" s="1280" t="s">
        <v>211</v>
      </c>
      <c r="C410" s="1281"/>
      <c r="D410" s="1282"/>
      <c r="E410" s="566" t="s">
        <v>52</v>
      </c>
      <c r="F410" s="566" t="s">
        <v>53</v>
      </c>
      <c r="G410" s="1209" t="s">
        <v>54</v>
      </c>
      <c r="H410" s="1210"/>
      <c r="I410" s="632" t="s">
        <v>188</v>
      </c>
      <c r="J410" s="632"/>
      <c r="K410" s="1209" t="s">
        <v>180</v>
      </c>
      <c r="L410" s="1210"/>
      <c r="N410" s="50"/>
      <c r="T410" s="53"/>
      <c r="U410" s="53"/>
    </row>
    <row r="411" spans="1:21" s="396" customFormat="1" ht="30" customHeight="1" x14ac:dyDescent="0.35">
      <c r="A411" s="401" t="s">
        <v>189</v>
      </c>
      <c r="B411" s="1585" t="s">
        <v>229</v>
      </c>
      <c r="C411" s="1585"/>
      <c r="D411" s="1585"/>
      <c r="E411" s="191">
        <f>+(19200+30700)/2</f>
        <v>24950</v>
      </c>
      <c r="F411" s="401" t="s">
        <v>40</v>
      </c>
      <c r="G411" s="401"/>
      <c r="H411" s="401"/>
      <c r="I411" s="220">
        <v>1.0900000000000001</v>
      </c>
      <c r="J411" s="401"/>
      <c r="K411" s="191">
        <f>+E411*I411</f>
        <v>27195.500000000004</v>
      </c>
      <c r="L411" s="401" t="s">
        <v>40</v>
      </c>
      <c r="M411" s="50"/>
      <c r="N411" s="50"/>
      <c r="O411" s="572"/>
      <c r="P411" s="384"/>
    </row>
    <row r="412" spans="1:21" ht="30" customHeight="1" x14ac:dyDescent="0.35">
      <c r="A412" s="186" t="s">
        <v>1228</v>
      </c>
      <c r="B412" s="1585" t="s">
        <v>2972</v>
      </c>
      <c r="C412" s="1585"/>
      <c r="D412" s="1585"/>
      <c r="E412" s="191">
        <f>+(1370+2825)/2</f>
        <v>2097.5</v>
      </c>
      <c r="F412" s="605" t="s">
        <v>40</v>
      </c>
      <c r="G412" s="409">
        <v>2</v>
      </c>
      <c r="H412" s="409" t="s">
        <v>40</v>
      </c>
      <c r="I412" s="588">
        <v>1.07</v>
      </c>
      <c r="J412" s="409"/>
      <c r="K412" s="364">
        <f>+E412*G412*I412</f>
        <v>4488.6500000000005</v>
      </c>
      <c r="L412" s="401" t="s">
        <v>40</v>
      </c>
      <c r="M412" s="50"/>
      <c r="N412" s="50"/>
    </row>
    <row r="413" spans="1:21" ht="30" customHeight="1" x14ac:dyDescent="0.35">
      <c r="A413" s="271" t="s">
        <v>193</v>
      </c>
      <c r="B413" s="1265" t="s">
        <v>2973</v>
      </c>
      <c r="C413" s="1265"/>
      <c r="D413" s="1265"/>
      <c r="E413" s="364">
        <f>340+154.8</f>
        <v>494.8</v>
      </c>
      <c r="F413" s="605" t="s">
        <v>40</v>
      </c>
      <c r="G413" s="409"/>
      <c r="H413" s="409"/>
      <c r="I413" s="588">
        <v>1.01</v>
      </c>
      <c r="J413" s="409"/>
      <c r="K413" s="191">
        <f>+E413*I413</f>
        <v>499.74799999999999</v>
      </c>
      <c r="L413" s="401" t="s">
        <v>40</v>
      </c>
      <c r="M413" s="50"/>
      <c r="N413" s="50"/>
    </row>
    <row r="414" spans="1:21" ht="30" customHeight="1" x14ac:dyDescent="0.35">
      <c r="A414" s="271"/>
      <c r="B414" s="585"/>
      <c r="C414" s="585"/>
      <c r="D414" s="585"/>
      <c r="E414" s="364"/>
      <c r="F414" s="605"/>
      <c r="G414" s="409"/>
      <c r="H414" s="409"/>
      <c r="I414" s="588"/>
      <c r="J414" s="516" t="s">
        <v>223</v>
      </c>
      <c r="K414" s="364">
        <f>SUM(K411:K413)</f>
        <v>32183.898000000005</v>
      </c>
      <c r="L414" s="401" t="s">
        <v>40</v>
      </c>
      <c r="M414" s="50"/>
      <c r="N414" s="50"/>
      <c r="O414" s="14"/>
      <c r="T414" s="10"/>
      <c r="U414" s="10"/>
    </row>
    <row r="415" spans="1:21" ht="30" customHeight="1" x14ac:dyDescent="0.35">
      <c r="A415" s="186"/>
      <c r="B415" s="1585"/>
      <c r="C415" s="1585"/>
      <c r="D415" s="1585"/>
      <c r="E415" s="194"/>
      <c r="F415" s="1215" t="s">
        <v>195</v>
      </c>
      <c r="G415" s="1273" t="s">
        <v>196</v>
      </c>
      <c r="H415" s="1273"/>
      <c r="I415" s="1273"/>
      <c r="J415" s="1273"/>
      <c r="K415" s="196">
        <v>1.05</v>
      </c>
      <c r="L415" s="186"/>
      <c r="M415" s="50"/>
      <c r="N415" s="50"/>
      <c r="T415" s="53"/>
      <c r="U415" s="53"/>
    </row>
    <row r="416" spans="1:21" s="396" customFormat="1" ht="30" customHeight="1" x14ac:dyDescent="0.35">
      <c r="A416" s="186"/>
      <c r="B416" s="567"/>
      <c r="C416" s="567"/>
      <c r="D416" s="567"/>
      <c r="E416" s="194"/>
      <c r="F416" s="1216"/>
      <c r="G416" s="1268" t="s">
        <v>197</v>
      </c>
      <c r="H416" s="1268"/>
      <c r="I416" s="1268"/>
      <c r="J416" s="1268"/>
      <c r="K416" s="197">
        <v>1.07</v>
      </c>
      <c r="L416" s="186"/>
      <c r="M416" s="50"/>
      <c r="O416" s="572"/>
      <c r="P416" s="384"/>
    </row>
    <row r="417" spans="1:21" ht="30" customHeight="1" x14ac:dyDescent="0.35">
      <c r="A417" s="186"/>
      <c r="B417" s="186"/>
      <c r="C417" s="503"/>
      <c r="D417" s="503"/>
      <c r="E417" s="503"/>
      <c r="F417" s="503"/>
      <c r="G417" s="503"/>
      <c r="H417" s="503"/>
      <c r="I417" s="503"/>
      <c r="J417" s="494" t="s">
        <v>37</v>
      </c>
      <c r="K417" s="193">
        <f>+K414*K415/K416</f>
        <v>31582.329813084114</v>
      </c>
      <c r="L417" s="186" t="s">
        <v>40</v>
      </c>
      <c r="M417" s="50"/>
      <c r="N417" s="50"/>
    </row>
    <row r="418" spans="1:21" ht="30" customHeight="1" thickBot="1" x14ac:dyDescent="0.4">
      <c r="A418" s="186"/>
      <c r="B418" s="186"/>
      <c r="C418" s="503"/>
      <c r="D418" s="503"/>
      <c r="E418" s="503"/>
      <c r="F418" s="503"/>
      <c r="G418" s="1374" t="s">
        <v>257</v>
      </c>
      <c r="H418" s="1375"/>
      <c r="I418" s="1376"/>
      <c r="J418" s="560">
        <f>VLOOKUP(B409,'Mil Cost Premiums for PUCs'!$A$4:$R$285,18,FALSE)</f>
        <v>1.0209999999999999</v>
      </c>
      <c r="K418" s="193">
        <f>+K417*J418</f>
        <v>32245.558739158878</v>
      </c>
      <c r="L418" s="186" t="s">
        <v>40</v>
      </c>
      <c r="N418" s="50"/>
    </row>
    <row r="419" spans="1:21" ht="30" customHeight="1" thickBot="1" x14ac:dyDescent="0.4">
      <c r="A419" s="1199"/>
      <c r="B419" s="1200"/>
      <c r="C419" s="1200"/>
      <c r="D419" s="1200"/>
      <c r="E419" s="1200"/>
      <c r="F419" s="1200"/>
      <c r="G419" s="1200"/>
      <c r="H419" s="1200"/>
      <c r="I419" s="1200"/>
      <c r="J419" s="1200"/>
      <c r="K419" s="1200"/>
      <c r="L419" s="1201"/>
      <c r="M419" s="50"/>
      <c r="N419" s="50"/>
      <c r="T419" s="10"/>
      <c r="U419" s="10"/>
    </row>
    <row r="420" spans="1:21" ht="30" customHeight="1" x14ac:dyDescent="0.35">
      <c r="A420" s="388" t="s">
        <v>1</v>
      </c>
      <c r="B420" s="389">
        <v>1402</v>
      </c>
      <c r="C420" s="1290" t="s">
        <v>230</v>
      </c>
      <c r="D420" s="1291"/>
      <c r="E420" s="392" t="s">
        <v>3</v>
      </c>
      <c r="F420" s="393" t="s">
        <v>108</v>
      </c>
      <c r="G420" s="390" t="s">
        <v>38</v>
      </c>
      <c r="H420" s="135">
        <v>15869.332164502101</v>
      </c>
      <c r="I420" s="392" t="s">
        <v>5</v>
      </c>
      <c r="J420" s="1304" t="s">
        <v>2861</v>
      </c>
      <c r="K420" s="1305"/>
      <c r="L420" s="1306"/>
      <c r="M420" s="50"/>
      <c r="N420" s="50"/>
      <c r="T420" s="53"/>
      <c r="U420" s="53"/>
    </row>
    <row r="421" spans="1:21" s="396" customFormat="1" ht="30" customHeight="1" x14ac:dyDescent="0.35">
      <c r="A421" s="185" t="s">
        <v>177</v>
      </c>
      <c r="B421" s="1272" t="s">
        <v>7</v>
      </c>
      <c r="C421" s="1272"/>
      <c r="D421" s="1272"/>
      <c r="E421" s="492" t="s">
        <v>178</v>
      </c>
      <c r="F421" s="397" t="s">
        <v>52</v>
      </c>
      <c r="G421" s="185"/>
      <c r="H421" s="185"/>
      <c r="I421" s="1221" t="s">
        <v>179</v>
      </c>
      <c r="J421" s="1222"/>
      <c r="K421" s="1209" t="s">
        <v>180</v>
      </c>
      <c r="L421" s="1210"/>
      <c r="M421" s="50"/>
      <c r="N421" s="50"/>
      <c r="O421" s="539"/>
      <c r="P421" s="384"/>
    </row>
    <row r="422" spans="1:21" s="396" customFormat="1" ht="30" customHeight="1" x14ac:dyDescent="0.35">
      <c r="A422" s="401" t="s">
        <v>181</v>
      </c>
      <c r="B422" s="1265" t="s">
        <v>2867</v>
      </c>
      <c r="C422" s="1265"/>
      <c r="D422" s="1265"/>
      <c r="E422" s="531">
        <v>69000</v>
      </c>
      <c r="F422" s="187">
        <v>669</v>
      </c>
      <c r="G422" s="532"/>
      <c r="H422" s="533"/>
      <c r="I422" s="1217" t="s">
        <v>2860</v>
      </c>
      <c r="J422" s="1218"/>
      <c r="K422" s="187">
        <f>F422</f>
        <v>669</v>
      </c>
      <c r="L422" s="401" t="s">
        <v>108</v>
      </c>
      <c r="M422" s="9"/>
      <c r="N422" s="50"/>
      <c r="O422" s="572"/>
      <c r="P422" s="384"/>
    </row>
    <row r="423" spans="1:21" s="396" customFormat="1" ht="30" customHeight="1" thickBot="1" x14ac:dyDescent="0.4">
      <c r="A423" s="186"/>
      <c r="B423" s="1212"/>
      <c r="C423" s="1213"/>
      <c r="D423" s="1214"/>
      <c r="E423" s="535"/>
      <c r="F423" s="536"/>
      <c r="G423" s="536"/>
      <c r="H423" s="537"/>
      <c r="I423" s="503"/>
      <c r="J423" s="571" t="s">
        <v>37</v>
      </c>
      <c r="K423" s="193">
        <f>+K422</f>
        <v>669</v>
      </c>
      <c r="L423" s="186" t="s">
        <v>108</v>
      </c>
      <c r="M423" s="11"/>
      <c r="N423" s="97"/>
      <c r="O423" s="633"/>
      <c r="P423" s="384"/>
    </row>
    <row r="424" spans="1:21" ht="30" customHeight="1" thickBot="1" x14ac:dyDescent="0.4">
      <c r="A424" s="1199"/>
      <c r="B424" s="1200"/>
      <c r="C424" s="1200"/>
      <c r="D424" s="1200"/>
      <c r="E424" s="1200"/>
      <c r="F424" s="1200"/>
      <c r="G424" s="1200"/>
      <c r="H424" s="1200"/>
      <c r="I424" s="1200"/>
      <c r="J424" s="1200"/>
      <c r="K424" s="1200"/>
      <c r="L424" s="1201"/>
      <c r="M424" s="50"/>
      <c r="N424" s="50"/>
    </row>
    <row r="425" spans="1:21" ht="30" customHeight="1" x14ac:dyDescent="0.35">
      <c r="A425" s="388" t="s">
        <v>1</v>
      </c>
      <c r="B425" s="389">
        <v>1403</v>
      </c>
      <c r="C425" s="1290" t="s">
        <v>231</v>
      </c>
      <c r="D425" s="1291"/>
      <c r="E425" s="392" t="s">
        <v>3</v>
      </c>
      <c r="F425" s="393" t="s">
        <v>108</v>
      </c>
      <c r="G425" s="390" t="s">
        <v>38</v>
      </c>
      <c r="H425" s="135">
        <v>5652.5454545454504</v>
      </c>
      <c r="I425" s="392" t="s">
        <v>5</v>
      </c>
      <c r="J425" s="1304" t="s">
        <v>2861</v>
      </c>
      <c r="K425" s="1305"/>
      <c r="L425" s="1306"/>
      <c r="M425" s="50"/>
      <c r="N425" s="50"/>
    </row>
    <row r="426" spans="1:21" ht="30" customHeight="1" x14ac:dyDescent="0.35">
      <c r="A426" s="185" t="s">
        <v>177</v>
      </c>
      <c r="B426" s="1272" t="s">
        <v>7</v>
      </c>
      <c r="C426" s="1272"/>
      <c r="D426" s="1272"/>
      <c r="E426" s="492" t="s">
        <v>178</v>
      </c>
      <c r="F426" s="397" t="s">
        <v>52</v>
      </c>
      <c r="G426" s="185"/>
      <c r="H426" s="185"/>
      <c r="I426" s="1221" t="s">
        <v>179</v>
      </c>
      <c r="J426" s="1222"/>
      <c r="K426" s="1209" t="s">
        <v>180</v>
      </c>
      <c r="L426" s="1210"/>
      <c r="M426" s="50"/>
      <c r="O426" s="5"/>
      <c r="P426" s="9"/>
      <c r="Q426" s="34"/>
      <c r="R426" s="5"/>
      <c r="S426" s="35"/>
    </row>
    <row r="427" spans="1:21" ht="30" customHeight="1" x14ac:dyDescent="0.35">
      <c r="A427" s="401" t="s">
        <v>181</v>
      </c>
      <c r="B427" s="1265" t="s">
        <v>182</v>
      </c>
      <c r="C427" s="1265"/>
      <c r="D427" s="1265"/>
      <c r="E427" s="531">
        <v>100000</v>
      </c>
      <c r="F427" s="187">
        <v>659</v>
      </c>
      <c r="G427" s="532"/>
      <c r="H427" s="533"/>
      <c r="I427" s="1217" t="s">
        <v>2860</v>
      </c>
      <c r="J427" s="1218"/>
      <c r="K427" s="187">
        <f>F427</f>
        <v>659</v>
      </c>
      <c r="L427" s="401" t="s">
        <v>108</v>
      </c>
      <c r="M427" s="50"/>
      <c r="N427" s="50"/>
      <c r="O427" s="5"/>
      <c r="P427" s="9"/>
      <c r="Q427" s="34"/>
      <c r="R427" s="5"/>
      <c r="S427" s="35"/>
    </row>
    <row r="428" spans="1:21" ht="30" customHeight="1" thickBot="1" x14ac:dyDescent="0.4">
      <c r="A428" s="186"/>
      <c r="B428" s="1264"/>
      <c r="C428" s="1264"/>
      <c r="D428" s="1264"/>
      <c r="E428" s="535"/>
      <c r="F428" s="536"/>
      <c r="G428" s="536"/>
      <c r="H428" s="537"/>
      <c r="I428" s="503"/>
      <c r="J428" s="494" t="s">
        <v>37</v>
      </c>
      <c r="K428" s="193">
        <f>K427</f>
        <v>659</v>
      </c>
      <c r="L428" s="186" t="s">
        <v>108</v>
      </c>
      <c r="N428" s="50"/>
      <c r="O428" s="384"/>
      <c r="P428" s="9"/>
      <c r="Q428" s="34"/>
      <c r="R428" s="5"/>
      <c r="S428" s="35"/>
    </row>
    <row r="429" spans="1:21" ht="30" customHeight="1" thickBot="1" x14ac:dyDescent="0.4">
      <c r="A429" s="1199"/>
      <c r="B429" s="1200"/>
      <c r="C429" s="1200"/>
      <c r="D429" s="1200"/>
      <c r="E429" s="1200"/>
      <c r="F429" s="1200"/>
      <c r="G429" s="1200"/>
      <c r="H429" s="1200"/>
      <c r="I429" s="1200"/>
      <c r="J429" s="1200"/>
      <c r="K429" s="1200"/>
      <c r="L429" s="1201"/>
      <c r="M429" s="50"/>
      <c r="N429" s="50"/>
      <c r="O429" s="384"/>
      <c r="P429" s="9"/>
      <c r="Q429" s="34"/>
      <c r="R429" s="5"/>
      <c r="S429" s="35"/>
    </row>
    <row r="430" spans="1:21" ht="30" customHeight="1" x14ac:dyDescent="0.35">
      <c r="A430" s="388" t="s">
        <v>1</v>
      </c>
      <c r="B430" s="389">
        <v>1404</v>
      </c>
      <c r="C430" s="1700" t="s">
        <v>2894</v>
      </c>
      <c r="D430" s="1390"/>
      <c r="E430" s="392" t="s">
        <v>3</v>
      </c>
      <c r="F430" s="393" t="s">
        <v>108</v>
      </c>
      <c r="G430" s="390" t="s">
        <v>38</v>
      </c>
      <c r="H430" s="135">
        <v>20520</v>
      </c>
      <c r="I430" s="392" t="s">
        <v>5</v>
      </c>
      <c r="J430" s="1304" t="s">
        <v>2873</v>
      </c>
      <c r="K430" s="1305"/>
      <c r="L430" s="1306"/>
      <c r="M430" s="96"/>
      <c r="N430" s="50"/>
      <c r="O430" s="5"/>
      <c r="P430" s="9"/>
      <c r="Q430" s="34"/>
      <c r="R430" s="5"/>
      <c r="S430" s="35"/>
    </row>
    <row r="431" spans="1:21" customFormat="1" ht="30" customHeight="1" x14ac:dyDescent="0.35">
      <c r="A431" s="185" t="s">
        <v>177</v>
      </c>
      <c r="B431" s="1272" t="s">
        <v>7</v>
      </c>
      <c r="C431" s="1272"/>
      <c r="D431" s="1272"/>
      <c r="E431" s="492" t="s">
        <v>178</v>
      </c>
      <c r="F431" s="397" t="s">
        <v>52</v>
      </c>
      <c r="G431" s="185"/>
      <c r="H431" s="185"/>
      <c r="I431" s="1221" t="s">
        <v>179</v>
      </c>
      <c r="J431" s="1222"/>
      <c r="K431" s="1209" t="s">
        <v>180</v>
      </c>
      <c r="L431" s="1210"/>
      <c r="M431" s="50"/>
    </row>
    <row r="432" spans="1:21" customFormat="1" ht="30" customHeight="1" x14ac:dyDescent="0.35">
      <c r="A432" s="401">
        <v>14161</v>
      </c>
      <c r="B432" s="1265" t="s">
        <v>233</v>
      </c>
      <c r="C432" s="1265"/>
      <c r="D432" s="1265"/>
      <c r="E432" s="531">
        <v>81000</v>
      </c>
      <c r="F432" s="187">
        <v>722</v>
      </c>
      <c r="G432" s="532"/>
      <c r="H432" s="533"/>
      <c r="I432" s="1217">
        <f>+'FY2024 MILCON Inflation Table'!F23</f>
        <v>0.93863689284411045</v>
      </c>
      <c r="J432" s="1218"/>
      <c r="K432" s="189">
        <f>+F432*I432</f>
        <v>677.6958366334477</v>
      </c>
      <c r="L432" s="401" t="s">
        <v>108</v>
      </c>
      <c r="M432" s="50"/>
    </row>
    <row r="433" spans="1:19" customFormat="1" ht="30" customHeight="1" thickBot="1" x14ac:dyDescent="0.4">
      <c r="A433" s="373"/>
      <c r="B433" s="374"/>
      <c r="C433" s="374"/>
      <c r="D433" s="375"/>
      <c r="E433" s="535"/>
      <c r="F433" s="536"/>
      <c r="G433" s="536"/>
      <c r="H433" s="537"/>
      <c r="I433" s="503"/>
      <c r="J433" s="494" t="s">
        <v>37</v>
      </c>
      <c r="K433" s="190">
        <f>+K432</f>
        <v>677.6958366334477</v>
      </c>
      <c r="L433" s="409" t="s">
        <v>108</v>
      </c>
      <c r="M433" s="50"/>
    </row>
    <row r="434" spans="1:19" customFormat="1" ht="30" customHeight="1" thickBot="1" x14ac:dyDescent="0.4">
      <c r="A434" s="1199"/>
      <c r="B434" s="1200"/>
      <c r="C434" s="1200"/>
      <c r="D434" s="1200"/>
      <c r="E434" s="1200"/>
      <c r="F434" s="1200"/>
      <c r="G434" s="1200"/>
      <c r="H434" s="1200"/>
      <c r="I434" s="1200"/>
      <c r="J434" s="1200"/>
      <c r="K434" s="1200"/>
      <c r="L434" s="1201"/>
      <c r="M434" s="50"/>
    </row>
    <row r="435" spans="1:19" customFormat="1" ht="30" customHeight="1" x14ac:dyDescent="0.35">
      <c r="A435" s="602" t="s">
        <v>216</v>
      </c>
      <c r="B435" s="602">
        <v>1405</v>
      </c>
      <c r="C435" s="1243" t="s">
        <v>3001</v>
      </c>
      <c r="D435" s="1244"/>
      <c r="E435" s="548" t="s">
        <v>3</v>
      </c>
      <c r="F435" s="549" t="s">
        <v>108</v>
      </c>
      <c r="G435" s="513" t="s">
        <v>38</v>
      </c>
      <c r="H435" s="379">
        <v>24753</v>
      </c>
      <c r="I435" s="548" t="s">
        <v>5</v>
      </c>
      <c r="J435" s="1245" t="s">
        <v>2873</v>
      </c>
      <c r="K435" s="1246"/>
      <c r="L435" s="1247"/>
      <c r="M435" s="634"/>
    </row>
    <row r="436" spans="1:19" ht="30" customHeight="1" x14ac:dyDescent="0.35">
      <c r="A436" s="446" t="s">
        <v>177</v>
      </c>
      <c r="B436" s="1248" t="s">
        <v>7</v>
      </c>
      <c r="C436" s="1248"/>
      <c r="D436" s="1248"/>
      <c r="E436" s="635" t="s">
        <v>178</v>
      </c>
      <c r="F436" s="636" t="s">
        <v>52</v>
      </c>
      <c r="G436" s="446"/>
      <c r="H436" s="446"/>
      <c r="I436" s="1225" t="s">
        <v>179</v>
      </c>
      <c r="J436" s="1226"/>
      <c r="K436" s="1249" t="s">
        <v>180</v>
      </c>
      <c r="L436" s="1250"/>
      <c r="M436"/>
      <c r="O436" s="5"/>
      <c r="P436" s="9"/>
      <c r="Q436" s="34"/>
      <c r="R436" s="5"/>
      <c r="S436" s="35"/>
    </row>
    <row r="437" spans="1:19" ht="30" customHeight="1" x14ac:dyDescent="0.35">
      <c r="A437" s="409">
        <v>14162</v>
      </c>
      <c r="B437" s="1251" t="s">
        <v>3002</v>
      </c>
      <c r="C437" s="1251"/>
      <c r="D437" s="1251"/>
      <c r="E437" s="637">
        <v>110000</v>
      </c>
      <c r="F437" s="369">
        <v>698</v>
      </c>
      <c r="G437" s="638"/>
      <c r="H437" s="533"/>
      <c r="I437" s="1252">
        <f>+'FY2024 MILCON Inflation Table'!F23</f>
        <v>0.93863689284411045</v>
      </c>
      <c r="J437" s="1253"/>
      <c r="K437" s="380">
        <f>+F437*I437</f>
        <v>655.16855120518915</v>
      </c>
      <c r="L437" s="409" t="s">
        <v>108</v>
      </c>
      <c r="M437"/>
      <c r="N437" s="50"/>
      <c r="O437" s="5"/>
      <c r="P437" s="9"/>
      <c r="Q437" s="34"/>
      <c r="R437" s="5"/>
      <c r="S437" s="35"/>
    </row>
    <row r="438" spans="1:19" ht="30" customHeight="1" thickBot="1" x14ac:dyDescent="0.4">
      <c r="A438" s="605"/>
      <c r="B438" s="1254"/>
      <c r="C438" s="1255"/>
      <c r="D438" s="1256"/>
      <c r="E438" s="1257"/>
      <c r="F438" s="1258"/>
      <c r="G438" s="1238"/>
      <c r="H438" s="1239"/>
      <c r="I438" s="606"/>
      <c r="J438" s="607" t="s">
        <v>37</v>
      </c>
      <c r="K438" s="429">
        <f>+K437</f>
        <v>655.16855120518915</v>
      </c>
      <c r="L438" s="605" t="s">
        <v>108</v>
      </c>
      <c r="M438"/>
      <c r="N438" s="50"/>
      <c r="O438" s="5"/>
      <c r="P438" s="9"/>
      <c r="Q438" s="34"/>
      <c r="R438" s="5"/>
      <c r="S438" s="35"/>
    </row>
    <row r="439" spans="1:19" ht="30" customHeight="1" thickBot="1" x14ac:dyDescent="0.4">
      <c r="A439" s="1240"/>
      <c r="B439" s="1241"/>
      <c r="C439" s="1241"/>
      <c r="D439" s="1241"/>
      <c r="E439" s="1241"/>
      <c r="F439" s="1241"/>
      <c r="G439" s="1241"/>
      <c r="H439" s="1241"/>
      <c r="I439" s="1241"/>
      <c r="J439" s="1241"/>
      <c r="K439" s="1241"/>
      <c r="L439" s="1242"/>
      <c r="M439"/>
      <c r="N439" s="50"/>
      <c r="O439" s="5"/>
      <c r="P439" s="9"/>
      <c r="Q439" s="34"/>
      <c r="R439" s="5"/>
      <c r="S439" s="35"/>
    </row>
    <row r="440" spans="1:19" ht="30" customHeight="1" x14ac:dyDescent="0.35">
      <c r="A440" s="388" t="s">
        <v>1</v>
      </c>
      <c r="B440" s="389">
        <v>1411</v>
      </c>
      <c r="C440" s="1290" t="s">
        <v>234</v>
      </c>
      <c r="D440" s="1291"/>
      <c r="E440" s="392" t="s">
        <v>3</v>
      </c>
      <c r="F440" s="393" t="s">
        <v>108</v>
      </c>
      <c r="G440" s="390" t="s">
        <v>38</v>
      </c>
      <c r="H440" s="135">
        <v>10254.695740365099</v>
      </c>
      <c r="I440" s="392" t="s">
        <v>5</v>
      </c>
      <c r="J440" s="1304" t="s">
        <v>2861</v>
      </c>
      <c r="K440" s="1305"/>
      <c r="L440" s="1306"/>
      <c r="M440" s="572"/>
      <c r="N440" s="50"/>
      <c r="O440" s="5"/>
      <c r="P440" s="9"/>
      <c r="Q440" s="34"/>
      <c r="R440" s="5"/>
      <c r="S440" s="35"/>
    </row>
    <row r="441" spans="1:19" ht="30" customHeight="1" x14ac:dyDescent="0.35">
      <c r="A441" s="185" t="s">
        <v>177</v>
      </c>
      <c r="B441" s="1272" t="s">
        <v>7</v>
      </c>
      <c r="C441" s="1272"/>
      <c r="D441" s="1272"/>
      <c r="E441" s="492" t="s">
        <v>178</v>
      </c>
      <c r="F441" s="397" t="s">
        <v>52</v>
      </c>
      <c r="G441" s="185"/>
      <c r="H441" s="185"/>
      <c r="I441" s="1221" t="s">
        <v>179</v>
      </c>
      <c r="J441" s="1222"/>
      <c r="K441" s="1209" t="s">
        <v>180</v>
      </c>
      <c r="L441" s="1210"/>
      <c r="M441" s="50"/>
      <c r="N441" s="50"/>
      <c r="O441" s="641"/>
      <c r="P441" s="9"/>
      <c r="Q441" s="34"/>
      <c r="R441" s="5"/>
      <c r="S441" s="35"/>
    </row>
    <row r="442" spans="1:19" ht="30" customHeight="1" x14ac:dyDescent="0.35">
      <c r="A442" s="401" t="s">
        <v>181</v>
      </c>
      <c r="B442" s="1265" t="s">
        <v>2868</v>
      </c>
      <c r="C442" s="1265"/>
      <c r="D442" s="1265"/>
      <c r="E442" s="531">
        <v>27000</v>
      </c>
      <c r="F442" s="187">
        <v>635</v>
      </c>
      <c r="G442" s="532"/>
      <c r="H442" s="640"/>
      <c r="I442" s="1217" t="s">
        <v>2860</v>
      </c>
      <c r="J442" s="1218"/>
      <c r="K442" s="187">
        <f>F442</f>
        <v>635</v>
      </c>
      <c r="L442" s="401" t="s">
        <v>108</v>
      </c>
      <c r="M442" s="50"/>
      <c r="N442" s="50"/>
      <c r="O442" s="5"/>
      <c r="P442" s="9"/>
      <c r="Q442" s="34"/>
      <c r="R442" s="5"/>
      <c r="S442" s="35"/>
    </row>
    <row r="443" spans="1:19" ht="30" customHeight="1" thickBot="1" x14ac:dyDescent="0.4">
      <c r="A443" s="186"/>
      <c r="B443" s="1350"/>
      <c r="C443" s="1351"/>
      <c r="D443" s="1352"/>
      <c r="E443" s="535"/>
      <c r="F443" s="536"/>
      <c r="G443" s="536"/>
      <c r="H443" s="537"/>
      <c r="I443" s="503"/>
      <c r="J443" s="494" t="s">
        <v>37</v>
      </c>
      <c r="K443" s="193">
        <f>+K442</f>
        <v>635</v>
      </c>
      <c r="L443" s="186" t="s">
        <v>108</v>
      </c>
      <c r="M443" s="50"/>
      <c r="N443" s="50"/>
      <c r="O443" s="384"/>
      <c r="P443" s="9"/>
      <c r="Q443" s="34"/>
      <c r="R443" s="5"/>
      <c r="S443" s="35"/>
    </row>
    <row r="444" spans="1:19" ht="30" customHeight="1" thickBot="1" x14ac:dyDescent="0.4">
      <c r="A444" s="1199"/>
      <c r="B444" s="1200"/>
      <c r="C444" s="1200"/>
      <c r="D444" s="1200"/>
      <c r="E444" s="1200"/>
      <c r="F444" s="1200"/>
      <c r="G444" s="1200"/>
      <c r="H444" s="1200"/>
      <c r="I444" s="1200"/>
      <c r="J444" s="1200"/>
      <c r="K444" s="1200"/>
      <c r="L444" s="1201"/>
      <c r="M444" s="50"/>
      <c r="N444" s="50"/>
      <c r="O444" s="384"/>
      <c r="P444" s="9"/>
      <c r="Q444" s="34"/>
      <c r="R444" s="5"/>
      <c r="S444" s="35"/>
    </row>
    <row r="445" spans="1:19" ht="30" customHeight="1" x14ac:dyDescent="0.35">
      <c r="A445" s="388" t="s">
        <v>1</v>
      </c>
      <c r="B445" s="389">
        <v>1412</v>
      </c>
      <c r="C445" s="1290" t="s">
        <v>235</v>
      </c>
      <c r="D445" s="1291"/>
      <c r="E445" s="392" t="s">
        <v>3</v>
      </c>
      <c r="F445" s="393" t="s">
        <v>108</v>
      </c>
      <c r="G445" s="390" t="s">
        <v>38</v>
      </c>
      <c r="H445" s="135">
        <v>27416.400000000001</v>
      </c>
      <c r="I445" s="392" t="s">
        <v>5</v>
      </c>
      <c r="J445" s="1304" t="s">
        <v>2861</v>
      </c>
      <c r="K445" s="1305"/>
      <c r="L445" s="1306"/>
      <c r="M445" s="50"/>
      <c r="N445" s="50"/>
      <c r="O445" s="384"/>
      <c r="P445" s="9"/>
      <c r="Q445" s="34"/>
      <c r="R445" s="5"/>
      <c r="S445" s="35"/>
    </row>
    <row r="446" spans="1:19" ht="30" customHeight="1" x14ac:dyDescent="0.35">
      <c r="A446" s="185" t="s">
        <v>177</v>
      </c>
      <c r="B446" s="1272" t="s">
        <v>7</v>
      </c>
      <c r="C446" s="1272"/>
      <c r="D446" s="1272"/>
      <c r="E446" s="492" t="s">
        <v>178</v>
      </c>
      <c r="F446" s="397" t="s">
        <v>52</v>
      </c>
      <c r="G446" s="185"/>
      <c r="H446" s="185"/>
      <c r="I446" s="1221" t="s">
        <v>179</v>
      </c>
      <c r="J446" s="1222"/>
      <c r="K446" s="1209" t="s">
        <v>180</v>
      </c>
      <c r="L446" s="1210"/>
      <c r="M446" s="50"/>
      <c r="O446" s="384"/>
      <c r="P446" s="9"/>
      <c r="Q446" s="34"/>
      <c r="R446" s="5"/>
      <c r="S446" s="35"/>
    </row>
    <row r="447" spans="1:19" ht="30" customHeight="1" x14ac:dyDescent="0.35">
      <c r="A447" s="401" t="s">
        <v>181</v>
      </c>
      <c r="B447" s="1265" t="s">
        <v>2867</v>
      </c>
      <c r="C447" s="1265"/>
      <c r="D447" s="1265"/>
      <c r="E447" s="531">
        <v>69000</v>
      </c>
      <c r="F447" s="187">
        <v>669</v>
      </c>
      <c r="G447" s="532"/>
      <c r="H447" s="533"/>
      <c r="I447" s="1217" t="s">
        <v>2860</v>
      </c>
      <c r="J447" s="1218"/>
      <c r="K447" s="187">
        <f>F447</f>
        <v>669</v>
      </c>
      <c r="L447" s="401" t="s">
        <v>108</v>
      </c>
      <c r="M447" s="97"/>
      <c r="N447" s="53"/>
      <c r="O447" s="527"/>
      <c r="P447" s="9"/>
      <c r="Q447" s="34"/>
      <c r="R447" s="5"/>
      <c r="S447" s="35"/>
    </row>
    <row r="448" spans="1:19" ht="30" customHeight="1" thickBot="1" x14ac:dyDescent="0.4">
      <c r="A448" s="186"/>
      <c r="B448" s="1264"/>
      <c r="C448" s="1264"/>
      <c r="D448" s="1264"/>
      <c r="E448" s="535"/>
      <c r="F448" s="536"/>
      <c r="G448" s="536"/>
      <c r="H448" s="537"/>
      <c r="I448" s="503"/>
      <c r="J448" s="494" t="s">
        <v>37</v>
      </c>
      <c r="K448" s="193">
        <f>+K447</f>
        <v>669</v>
      </c>
      <c r="L448" s="186" t="s">
        <v>108</v>
      </c>
      <c r="M448" s="50"/>
      <c r="N448" s="644"/>
      <c r="O448" s="645"/>
      <c r="P448" s="9"/>
      <c r="Q448" s="34"/>
      <c r="R448" s="5"/>
      <c r="S448" s="35"/>
    </row>
    <row r="449" spans="1:19" ht="30" customHeight="1" thickBot="1" x14ac:dyDescent="0.4">
      <c r="A449" s="1199"/>
      <c r="B449" s="1200"/>
      <c r="C449" s="1200"/>
      <c r="D449" s="1200"/>
      <c r="E449" s="1200"/>
      <c r="F449" s="1200"/>
      <c r="G449" s="1200"/>
      <c r="H449" s="1200"/>
      <c r="I449" s="1200"/>
      <c r="J449" s="1200"/>
      <c r="K449" s="1200"/>
      <c r="L449" s="1201"/>
      <c r="M449" s="50"/>
      <c r="N449" s="53"/>
      <c r="O449" s="5"/>
      <c r="P449" s="9"/>
      <c r="Q449" s="34"/>
      <c r="R449" s="5"/>
      <c r="S449" s="35"/>
    </row>
    <row r="450" spans="1:19" ht="30" customHeight="1" x14ac:dyDescent="0.35">
      <c r="A450" s="388" t="s">
        <v>1</v>
      </c>
      <c r="B450" s="389">
        <v>1413</v>
      </c>
      <c r="C450" s="1290" t="s">
        <v>236</v>
      </c>
      <c r="D450" s="1291"/>
      <c r="E450" s="392" t="s">
        <v>3</v>
      </c>
      <c r="F450" s="393" t="s">
        <v>108</v>
      </c>
      <c r="G450" s="390" t="s">
        <v>38</v>
      </c>
      <c r="H450" s="135">
        <v>4859.8367857142803</v>
      </c>
      <c r="I450" s="392" t="s">
        <v>5</v>
      </c>
      <c r="J450" s="1304" t="s">
        <v>2861</v>
      </c>
      <c r="K450" s="1305"/>
      <c r="L450" s="1306"/>
      <c r="N450" s="50"/>
      <c r="O450" s="5"/>
      <c r="P450" s="9"/>
      <c r="Q450" s="34"/>
      <c r="R450" s="5"/>
      <c r="S450" s="35"/>
    </row>
    <row r="451" spans="1:19" ht="30" customHeight="1" x14ac:dyDescent="0.35">
      <c r="A451" s="185" t="s">
        <v>177</v>
      </c>
      <c r="B451" s="1272" t="s">
        <v>7</v>
      </c>
      <c r="C451" s="1272"/>
      <c r="D451" s="1272"/>
      <c r="E451" s="492" t="s">
        <v>178</v>
      </c>
      <c r="F451" s="397" t="s">
        <v>52</v>
      </c>
      <c r="G451" s="1221" t="s">
        <v>54</v>
      </c>
      <c r="H451" s="1222"/>
      <c r="I451" s="1221" t="s">
        <v>179</v>
      </c>
      <c r="J451" s="1222"/>
      <c r="K451" s="1209" t="s">
        <v>180</v>
      </c>
      <c r="L451" s="1210"/>
      <c r="M451" s="50"/>
      <c r="N451" s="50"/>
      <c r="O451" s="5"/>
      <c r="P451" s="9"/>
      <c r="Q451" s="34"/>
      <c r="R451" s="5"/>
      <c r="S451" s="35"/>
    </row>
    <row r="452" spans="1:19" ht="30" customHeight="1" x14ac:dyDescent="0.35">
      <c r="A452" s="401" t="s">
        <v>181</v>
      </c>
      <c r="B452" s="1265" t="s">
        <v>2869</v>
      </c>
      <c r="C452" s="1265"/>
      <c r="D452" s="1265"/>
      <c r="E452" s="403">
        <v>68.069999999999993</v>
      </c>
      <c r="F452" s="187">
        <v>115651</v>
      </c>
      <c r="G452" s="642">
        <f>+E452/H450</f>
        <v>1.4006643227215978E-2</v>
      </c>
      <c r="H452" s="643" t="s">
        <v>237</v>
      </c>
      <c r="I452" s="1217" t="s">
        <v>2860</v>
      </c>
      <c r="J452" s="1218"/>
      <c r="K452" s="187">
        <f>F452*G452</f>
        <v>1619.8822958707551</v>
      </c>
      <c r="L452" s="401" t="s">
        <v>108</v>
      </c>
      <c r="M452" s="50"/>
      <c r="N452" s="1185"/>
      <c r="O452" s="5"/>
      <c r="P452" s="9"/>
      <c r="Q452" s="34"/>
      <c r="R452" s="5"/>
      <c r="S452" s="35"/>
    </row>
    <row r="453" spans="1:19" ht="30" customHeight="1" thickBot="1" x14ac:dyDescent="0.4">
      <c r="A453" s="1350" t="s">
        <v>2471</v>
      </c>
      <c r="B453" s="1351"/>
      <c r="C453" s="1351"/>
      <c r="D453" s="1351"/>
      <c r="E453" s="1352"/>
      <c r="F453" s="536"/>
      <c r="G453" s="536"/>
      <c r="H453" s="537"/>
      <c r="I453" s="646"/>
      <c r="J453" s="647" t="str">
        <f>J448</f>
        <v>PUC</v>
      </c>
      <c r="K453" s="187">
        <f>K452</f>
        <v>1619.8822958707551</v>
      </c>
      <c r="L453" s="401" t="s">
        <v>108</v>
      </c>
      <c r="M453" s="50"/>
      <c r="N453" s="50"/>
      <c r="O453" s="5"/>
      <c r="P453" s="9"/>
      <c r="Q453" s="34"/>
      <c r="R453" s="5"/>
      <c r="S453" s="35"/>
    </row>
    <row r="454" spans="1:19" ht="30" customHeight="1" thickBot="1" x14ac:dyDescent="0.4">
      <c r="A454" s="1199"/>
      <c r="B454" s="1200"/>
      <c r="C454" s="1200"/>
      <c r="D454" s="1200"/>
      <c r="E454" s="1200"/>
      <c r="F454" s="1200"/>
      <c r="G454" s="1200"/>
      <c r="H454" s="1200"/>
      <c r="I454" s="1200"/>
      <c r="J454" s="1200"/>
      <c r="K454" s="1200"/>
      <c r="L454" s="1201"/>
      <c r="M454" s="50"/>
      <c r="N454" s="50"/>
      <c r="O454" s="5"/>
      <c r="P454" s="9"/>
      <c r="Q454" s="34"/>
      <c r="R454" s="5"/>
      <c r="S454" s="35"/>
    </row>
    <row r="455" spans="1:19" ht="30" customHeight="1" x14ac:dyDescent="0.35">
      <c r="A455" s="388" t="s">
        <v>1</v>
      </c>
      <c r="B455" s="389">
        <v>1421</v>
      </c>
      <c r="C455" s="1290" t="s">
        <v>238</v>
      </c>
      <c r="D455" s="1291"/>
      <c r="E455" s="392" t="s">
        <v>3</v>
      </c>
      <c r="F455" s="393" t="s">
        <v>108</v>
      </c>
      <c r="G455" s="390" t="s">
        <v>38</v>
      </c>
      <c r="H455" s="135">
        <v>385.5</v>
      </c>
      <c r="I455" s="392" t="s">
        <v>5</v>
      </c>
      <c r="J455" s="1207" t="s">
        <v>2538</v>
      </c>
      <c r="K455" s="1207"/>
      <c r="L455" s="1208"/>
      <c r="N455" s="50"/>
      <c r="O455" s="5"/>
      <c r="P455" s="9"/>
      <c r="Q455" s="34"/>
      <c r="R455" s="5"/>
      <c r="S455" s="35"/>
    </row>
    <row r="456" spans="1:19" ht="30" customHeight="1" x14ac:dyDescent="0.35">
      <c r="A456" s="185" t="s">
        <v>177</v>
      </c>
      <c r="B456" s="1272" t="s">
        <v>7</v>
      </c>
      <c r="C456" s="1272"/>
      <c r="D456" s="1272"/>
      <c r="E456" s="492" t="s">
        <v>178</v>
      </c>
      <c r="F456" s="397" t="s">
        <v>52</v>
      </c>
      <c r="G456" s="1225" t="s">
        <v>54</v>
      </c>
      <c r="H456" s="1226"/>
      <c r="I456" s="1221" t="s">
        <v>179</v>
      </c>
      <c r="J456" s="1222"/>
      <c r="K456" s="1209" t="s">
        <v>180</v>
      </c>
      <c r="L456" s="1210"/>
      <c r="M456" s="50"/>
      <c r="N456" s="50"/>
      <c r="O456" s="5"/>
      <c r="P456" s="9"/>
      <c r="Q456" s="34"/>
      <c r="R456" s="5"/>
      <c r="S456" s="35"/>
    </row>
    <row r="457" spans="1:19" ht="30" customHeight="1" x14ac:dyDescent="0.35">
      <c r="A457" s="401">
        <v>42183</v>
      </c>
      <c r="B457" s="1389" t="s">
        <v>2777</v>
      </c>
      <c r="C457" s="1390"/>
      <c r="D457" s="1391"/>
      <c r="E457" s="531">
        <v>6000</v>
      </c>
      <c r="F457" s="187">
        <v>739</v>
      </c>
      <c r="G457" s="595"/>
      <c r="H457" s="441"/>
      <c r="I457" s="1217">
        <f>+'FY2024 MILCON Inflation Table'!F22</f>
        <v>0.95834826759383673</v>
      </c>
      <c r="J457" s="1218"/>
      <c r="K457" s="187">
        <f>+F457*I457</f>
        <v>708.21936975184531</v>
      </c>
      <c r="L457" s="401" t="s">
        <v>108</v>
      </c>
      <c r="M457" s="50"/>
      <c r="N457" s="50"/>
      <c r="O457" s="5"/>
      <c r="P457" s="9"/>
      <c r="Q457" s="34"/>
      <c r="R457" s="5"/>
      <c r="S457" s="35"/>
    </row>
    <row r="458" spans="1:19" ht="30" customHeight="1" x14ac:dyDescent="0.35">
      <c r="A458" s="401">
        <v>44220</v>
      </c>
      <c r="B458" s="1389" t="s">
        <v>239</v>
      </c>
      <c r="C458" s="1390"/>
      <c r="D458" s="1391"/>
      <c r="E458" s="531">
        <v>5300</v>
      </c>
      <c r="F458" s="187">
        <v>367</v>
      </c>
      <c r="G458" s="532"/>
      <c r="H458" s="533"/>
      <c r="I458" s="1217">
        <f>+I457</f>
        <v>0.95834826759383673</v>
      </c>
      <c r="J458" s="1218"/>
      <c r="K458" s="187">
        <f>+F458*I458</f>
        <v>351.71381420693808</v>
      </c>
      <c r="L458" s="401" t="s">
        <v>108</v>
      </c>
      <c r="M458" s="50"/>
      <c r="N458" s="50"/>
      <c r="O458" s="5"/>
      <c r="P458" s="9"/>
      <c r="Q458" s="34"/>
      <c r="R458" s="5"/>
      <c r="S458" s="35"/>
    </row>
    <row r="459" spans="1:19" ht="30" customHeight="1" x14ac:dyDescent="0.35">
      <c r="A459" s="401">
        <v>21470</v>
      </c>
      <c r="B459" s="1389" t="s">
        <v>2573</v>
      </c>
      <c r="C459" s="1390"/>
      <c r="D459" s="1391"/>
      <c r="E459" s="531">
        <v>180</v>
      </c>
      <c r="F459" s="187">
        <v>724</v>
      </c>
      <c r="G459" s="532"/>
      <c r="H459" s="533"/>
      <c r="I459" s="1217">
        <f>+I457</f>
        <v>0.95834826759383673</v>
      </c>
      <c r="J459" s="1218"/>
      <c r="K459" s="187">
        <f>+F459*I459</f>
        <v>693.84414573793777</v>
      </c>
      <c r="L459" s="401" t="s">
        <v>108</v>
      </c>
      <c r="M459" s="50"/>
      <c r="N459" s="50"/>
      <c r="O459" s="5"/>
      <c r="P459" s="9"/>
      <c r="Q459" s="34"/>
      <c r="R459" s="5"/>
      <c r="S459" s="35"/>
    </row>
    <row r="460" spans="1:19" ht="30" customHeight="1" x14ac:dyDescent="0.35">
      <c r="A460" s="186"/>
      <c r="B460" s="373"/>
      <c r="C460" s="374"/>
      <c r="D460" s="648" t="s">
        <v>192</v>
      </c>
      <c r="E460" s="649">
        <f>AVERAGE(E457:E459)</f>
        <v>3826.6666666666665</v>
      </c>
      <c r="F460" s="137"/>
      <c r="G460" s="650"/>
      <c r="H460" s="651"/>
      <c r="I460" s="1217" t="s">
        <v>192</v>
      </c>
      <c r="J460" s="1218"/>
      <c r="K460" s="187">
        <f>AVERAGE(K457:K459)</f>
        <v>584.59244323224038</v>
      </c>
      <c r="L460" s="401" t="s">
        <v>108</v>
      </c>
      <c r="M460" s="50"/>
      <c r="N460" s="50"/>
      <c r="O460" s="5"/>
      <c r="P460" s="9"/>
      <c r="Q460" s="34"/>
      <c r="R460" s="5"/>
      <c r="S460" s="35"/>
    </row>
    <row r="461" spans="1:19" ht="30" customHeight="1" thickBot="1" x14ac:dyDescent="0.4">
      <c r="A461" s="186"/>
      <c r="B461" s="1264"/>
      <c r="C461" s="1264"/>
      <c r="D461" s="1264"/>
      <c r="E461" s="652"/>
      <c r="F461" s="653"/>
      <c r="G461" s="653"/>
      <c r="H461" s="654"/>
      <c r="I461" s="503"/>
      <c r="J461" s="494" t="s">
        <v>37</v>
      </c>
      <c r="K461" s="193">
        <f>+K460</f>
        <v>584.59244323224038</v>
      </c>
      <c r="L461" s="186" t="s">
        <v>108</v>
      </c>
      <c r="M461" s="50"/>
      <c r="N461" s="50"/>
      <c r="O461" s="5"/>
      <c r="P461" s="9"/>
      <c r="Q461" s="34"/>
      <c r="R461" s="5"/>
      <c r="S461" s="35"/>
    </row>
    <row r="462" spans="1:19" ht="30" customHeight="1" thickBot="1" x14ac:dyDescent="0.4">
      <c r="A462" s="1199"/>
      <c r="B462" s="1200"/>
      <c r="C462" s="1200"/>
      <c r="D462" s="1200"/>
      <c r="E462" s="1200"/>
      <c r="F462" s="1200"/>
      <c r="G462" s="1200"/>
      <c r="H462" s="1200"/>
      <c r="I462" s="1200"/>
      <c r="J462" s="1200"/>
      <c r="K462" s="1200"/>
      <c r="L462" s="1201"/>
      <c r="M462" s="50"/>
      <c r="N462" s="50"/>
      <c r="O462" s="5"/>
      <c r="P462" s="9"/>
      <c r="Q462" s="34"/>
      <c r="R462" s="5"/>
      <c r="S462" s="35"/>
    </row>
    <row r="463" spans="1:19" ht="30" customHeight="1" x14ac:dyDescent="0.35">
      <c r="A463" s="388" t="s">
        <v>1</v>
      </c>
      <c r="B463" s="389">
        <v>1422</v>
      </c>
      <c r="C463" s="1205" t="s">
        <v>241</v>
      </c>
      <c r="D463" s="1206"/>
      <c r="E463" s="392" t="s">
        <v>3</v>
      </c>
      <c r="F463" s="393" t="s">
        <v>40</v>
      </c>
      <c r="G463" s="520" t="s">
        <v>2</v>
      </c>
      <c r="H463" s="562">
        <v>1</v>
      </c>
      <c r="I463" s="392" t="s">
        <v>5</v>
      </c>
      <c r="J463" s="1207" t="s">
        <v>186</v>
      </c>
      <c r="K463" s="1207"/>
      <c r="L463" s="1208"/>
      <c r="M463" s="50"/>
      <c r="N463" s="50"/>
      <c r="O463" s="5"/>
      <c r="P463" s="9"/>
      <c r="Q463" s="34"/>
      <c r="R463" s="5"/>
      <c r="S463" s="35"/>
    </row>
    <row r="464" spans="1:19" ht="30" customHeight="1" x14ac:dyDescent="0.35">
      <c r="A464" s="494" t="s">
        <v>187</v>
      </c>
      <c r="B464" s="1280" t="s">
        <v>211</v>
      </c>
      <c r="C464" s="1281"/>
      <c r="D464" s="1282"/>
      <c r="E464" s="566" t="s">
        <v>52</v>
      </c>
      <c r="F464" s="566" t="s">
        <v>53</v>
      </c>
      <c r="G464" s="1219" t="s">
        <v>54</v>
      </c>
      <c r="H464" s="1220"/>
      <c r="I464" s="185" t="s">
        <v>188</v>
      </c>
      <c r="J464" s="185"/>
      <c r="K464" s="1209" t="s">
        <v>180</v>
      </c>
      <c r="L464" s="1210"/>
      <c r="M464" s="50"/>
      <c r="N464" s="50"/>
      <c r="O464" s="5"/>
      <c r="P464" s="9"/>
      <c r="Q464" s="34"/>
      <c r="R464" s="5"/>
      <c r="S464" s="35"/>
    </row>
    <row r="465" spans="1:19" ht="30" customHeight="1" x14ac:dyDescent="0.35">
      <c r="A465" s="186" t="s">
        <v>242</v>
      </c>
      <c r="B465" s="1202" t="s">
        <v>243</v>
      </c>
      <c r="C465" s="1203"/>
      <c r="D465" s="1204"/>
      <c r="E465" s="194">
        <v>85750</v>
      </c>
      <c r="F465" s="186" t="s">
        <v>40</v>
      </c>
      <c r="G465" s="186"/>
      <c r="H465" s="186"/>
      <c r="I465" s="186">
        <v>1.19</v>
      </c>
      <c r="J465" s="186"/>
      <c r="K465" s="194">
        <f>+E465*I465</f>
        <v>102042.5</v>
      </c>
      <c r="L465" s="186" t="s">
        <v>40</v>
      </c>
      <c r="M465" s="50"/>
      <c r="O465" s="5"/>
      <c r="P465" s="9"/>
      <c r="Q465" s="34"/>
      <c r="R465" s="5"/>
      <c r="S465" s="35"/>
    </row>
    <row r="466" spans="1:19" ht="30" customHeight="1" x14ac:dyDescent="0.35">
      <c r="A466" s="186" t="s">
        <v>242</v>
      </c>
      <c r="B466" s="1202" t="s">
        <v>244</v>
      </c>
      <c r="C466" s="1203"/>
      <c r="D466" s="1204"/>
      <c r="E466" s="194">
        <v>129000</v>
      </c>
      <c r="F466" s="186" t="s">
        <v>40</v>
      </c>
      <c r="G466" s="186"/>
      <c r="H466" s="186"/>
      <c r="I466" s="186">
        <v>1.19</v>
      </c>
      <c r="J466" s="186"/>
      <c r="K466" s="194">
        <f>+E466*I466</f>
        <v>153510</v>
      </c>
      <c r="L466" s="186" t="s">
        <v>40</v>
      </c>
      <c r="N466" s="50"/>
      <c r="O466" s="5"/>
      <c r="P466" s="9"/>
      <c r="Q466" s="34"/>
      <c r="R466" s="5"/>
      <c r="S466" s="35"/>
    </row>
    <row r="467" spans="1:19" ht="30" customHeight="1" x14ac:dyDescent="0.35">
      <c r="A467" s="186"/>
      <c r="B467" s="373"/>
      <c r="C467" s="374"/>
      <c r="D467" s="375"/>
      <c r="E467" s="194"/>
      <c r="F467" s="186"/>
      <c r="G467" s="186"/>
      <c r="H467" s="186"/>
      <c r="I467" s="186"/>
      <c r="J467" s="186" t="s">
        <v>192</v>
      </c>
      <c r="K467" s="194">
        <f>AVERAGE(K465:K466)</f>
        <v>127776.25</v>
      </c>
      <c r="L467" s="186" t="s">
        <v>40</v>
      </c>
      <c r="M467" s="50"/>
      <c r="N467" s="50"/>
    </row>
    <row r="468" spans="1:19" ht="30" customHeight="1" x14ac:dyDescent="0.35">
      <c r="A468" s="186"/>
      <c r="B468" s="373"/>
      <c r="C468" s="374"/>
      <c r="D468" s="375"/>
      <c r="E468" s="194"/>
      <c r="F468" s="1215" t="s">
        <v>195</v>
      </c>
      <c r="G468" s="1273" t="s">
        <v>196</v>
      </c>
      <c r="H468" s="1273"/>
      <c r="I468" s="1273"/>
      <c r="J468" s="1273"/>
      <c r="K468" s="197">
        <v>1.06</v>
      </c>
      <c r="L468" s="186"/>
      <c r="M468" s="50"/>
      <c r="N468" s="50"/>
      <c r="O468" s="5"/>
      <c r="P468" s="9"/>
      <c r="Q468" s="34"/>
      <c r="R468" s="5"/>
      <c r="S468" s="35"/>
    </row>
    <row r="469" spans="1:19" ht="30" customHeight="1" x14ac:dyDescent="0.35">
      <c r="A469" s="186"/>
      <c r="B469" s="1264"/>
      <c r="C469" s="1264"/>
      <c r="D469" s="1264"/>
      <c r="E469" s="194"/>
      <c r="F469" s="1216"/>
      <c r="G469" s="1268" t="s">
        <v>197</v>
      </c>
      <c r="H469" s="1268"/>
      <c r="I469" s="1268"/>
      <c r="J469" s="1268"/>
      <c r="K469" s="197">
        <v>1.06</v>
      </c>
      <c r="L469" s="503"/>
      <c r="M469" s="50"/>
      <c r="N469" s="50"/>
      <c r="O469" s="5"/>
      <c r="P469" s="9"/>
      <c r="Q469" s="34"/>
      <c r="R469" s="5"/>
      <c r="S469" s="35"/>
    </row>
    <row r="470" spans="1:19" ht="30" customHeight="1" x14ac:dyDescent="0.35">
      <c r="A470" s="186"/>
      <c r="B470" s="186"/>
      <c r="C470" s="503"/>
      <c r="D470" s="503"/>
      <c r="E470" s="503"/>
      <c r="F470" s="503"/>
      <c r="G470" s="503"/>
      <c r="H470" s="503"/>
      <c r="I470" s="503"/>
      <c r="J470" s="503" t="s">
        <v>37</v>
      </c>
      <c r="K470" s="193">
        <f>+K467*K468/K469</f>
        <v>127776.25</v>
      </c>
      <c r="L470" s="186" t="s">
        <v>40</v>
      </c>
      <c r="M470" s="50"/>
      <c r="N470" s="50"/>
      <c r="O470" s="5"/>
      <c r="P470" s="9"/>
      <c r="Q470" s="34"/>
      <c r="R470" s="5"/>
      <c r="S470" s="35"/>
    </row>
    <row r="471" spans="1:19" ht="30" customHeight="1" x14ac:dyDescent="0.35">
      <c r="A471" s="186"/>
      <c r="B471" s="186"/>
      <c r="C471" s="503"/>
      <c r="D471" s="503"/>
      <c r="E471" s="503"/>
      <c r="F471" s="503"/>
      <c r="G471" s="1374" t="s">
        <v>257</v>
      </c>
      <c r="H471" s="1375"/>
      <c r="I471" s="1376"/>
      <c r="J471" s="560">
        <f>VLOOKUP(B463,'Mil Cost Premiums for PUCs'!$A$4:$R$285,18,FALSE)</f>
        <v>1.0209999999999999</v>
      </c>
      <c r="K471" s="193">
        <f>+K470*J471</f>
        <v>130459.55124999999</v>
      </c>
      <c r="L471" s="186" t="s">
        <v>40</v>
      </c>
      <c r="M471" s="50"/>
      <c r="N471" s="50"/>
      <c r="O471" s="5"/>
      <c r="P471" s="9"/>
      <c r="Q471" s="34"/>
      <c r="R471" s="5"/>
      <c r="S471" s="35"/>
    </row>
    <row r="472" spans="1:19" ht="30" customHeight="1" x14ac:dyDescent="0.35">
      <c r="A472" s="569"/>
      <c r="B472" s="569"/>
      <c r="C472" s="510"/>
      <c r="D472" s="510"/>
      <c r="E472" s="510"/>
      <c r="F472" s="510"/>
      <c r="G472" s="1191" t="s">
        <v>2817</v>
      </c>
      <c r="H472" s="1192"/>
      <c r="I472" s="1193"/>
      <c r="J472" s="570">
        <v>1.1214</v>
      </c>
      <c r="K472" s="285">
        <f>+K471*J472</f>
        <v>146297.34077174999</v>
      </c>
      <c r="L472" s="569" t="s">
        <v>40</v>
      </c>
      <c r="M472" s="50"/>
      <c r="N472" s="50"/>
      <c r="O472" s="5"/>
      <c r="P472" s="9"/>
      <c r="Q472" s="34"/>
      <c r="R472" s="5"/>
      <c r="S472" s="35"/>
    </row>
    <row r="473" spans="1:19" ht="30" customHeight="1" thickBot="1" x14ac:dyDescent="0.4">
      <c r="A473" s="569"/>
      <c r="B473" s="569"/>
      <c r="C473" s="510"/>
      <c r="D473" s="510"/>
      <c r="E473" s="510"/>
      <c r="F473" s="510"/>
      <c r="G473" s="1191" t="s">
        <v>3000</v>
      </c>
      <c r="H473" s="1192"/>
      <c r="I473" s="1193"/>
      <c r="J473" s="570">
        <v>1.0438745311870332</v>
      </c>
      <c r="K473" s="285">
        <f>+K472*J473</f>
        <v>152716.06801202017</v>
      </c>
      <c r="L473" s="569" t="s">
        <v>40</v>
      </c>
      <c r="M473" s="50"/>
      <c r="N473" s="50"/>
      <c r="O473" s="5"/>
      <c r="P473" s="9"/>
      <c r="Q473" s="34"/>
      <c r="R473" s="5"/>
      <c r="S473" s="35"/>
    </row>
    <row r="474" spans="1:19" ht="30" customHeight="1" thickBot="1" x14ac:dyDescent="0.4">
      <c r="A474" s="1199"/>
      <c r="B474" s="1200"/>
      <c r="C474" s="1200"/>
      <c r="D474" s="1200"/>
      <c r="E474" s="1200"/>
      <c r="F474" s="1200"/>
      <c r="G474" s="1200"/>
      <c r="H474" s="1200"/>
      <c r="I474" s="1200"/>
      <c r="J474" s="1200"/>
      <c r="K474" s="1200"/>
      <c r="L474" s="1201"/>
      <c r="M474" s="50"/>
      <c r="N474" s="50"/>
      <c r="O474" s="5"/>
      <c r="P474" s="9"/>
      <c r="Q474" s="34"/>
      <c r="R474" s="5"/>
      <c r="S474" s="35"/>
    </row>
    <row r="475" spans="1:19" ht="30" customHeight="1" x14ac:dyDescent="0.35">
      <c r="A475" s="571" t="s">
        <v>1</v>
      </c>
      <c r="B475" s="571">
        <v>1431</v>
      </c>
      <c r="C475" s="1345" t="s">
        <v>245</v>
      </c>
      <c r="D475" s="1346"/>
      <c r="E475" s="401" t="s">
        <v>3</v>
      </c>
      <c r="F475" s="655" t="s">
        <v>108</v>
      </c>
      <c r="G475" s="390" t="s">
        <v>38</v>
      </c>
      <c r="H475" s="656">
        <v>8405.2250622406591</v>
      </c>
      <c r="I475" s="392" t="s">
        <v>5</v>
      </c>
      <c r="J475" s="1304" t="s">
        <v>2861</v>
      </c>
      <c r="K475" s="1305"/>
      <c r="L475" s="1306"/>
      <c r="M475" s="50"/>
      <c r="N475" s="50"/>
      <c r="O475" s="5"/>
      <c r="P475" s="9"/>
      <c r="Q475" s="34"/>
      <c r="R475" s="5"/>
      <c r="S475" s="35"/>
    </row>
    <row r="476" spans="1:19" ht="30" customHeight="1" x14ac:dyDescent="0.35">
      <c r="A476" s="185" t="s">
        <v>177</v>
      </c>
      <c r="B476" s="1272" t="s">
        <v>7</v>
      </c>
      <c r="C476" s="1272"/>
      <c r="D476" s="1272"/>
      <c r="E476" s="492" t="s">
        <v>178</v>
      </c>
      <c r="F476" s="397" t="s">
        <v>52</v>
      </c>
      <c r="G476" s="185"/>
      <c r="H476" s="185"/>
      <c r="I476" s="1221" t="s">
        <v>179</v>
      </c>
      <c r="J476" s="1222"/>
      <c r="K476" s="1209" t="s">
        <v>180</v>
      </c>
      <c r="L476" s="1210"/>
      <c r="M476" s="50"/>
      <c r="N476" s="50"/>
      <c r="O476" s="5"/>
      <c r="P476" s="9"/>
      <c r="Q476" s="34"/>
      <c r="R476" s="5"/>
      <c r="S476" s="35"/>
    </row>
    <row r="477" spans="1:19" ht="30" customHeight="1" x14ac:dyDescent="0.35">
      <c r="A477" s="186" t="s">
        <v>181</v>
      </c>
      <c r="B477" s="1212" t="s">
        <v>1208</v>
      </c>
      <c r="C477" s="1213"/>
      <c r="D477" s="1214"/>
      <c r="E477" s="657">
        <v>43000</v>
      </c>
      <c r="F477" s="658">
        <v>599</v>
      </c>
      <c r="G477" s="117"/>
      <c r="H477" s="375"/>
      <c r="I477" s="1217" t="s">
        <v>2860</v>
      </c>
      <c r="J477" s="1218"/>
      <c r="K477" s="194">
        <f>F477</f>
        <v>599</v>
      </c>
      <c r="L477" s="186" t="s">
        <v>108</v>
      </c>
      <c r="M477" s="50"/>
      <c r="N477" s="50"/>
      <c r="O477" s="5"/>
      <c r="P477" s="9"/>
      <c r="Q477" s="34"/>
      <c r="R477" s="5"/>
      <c r="S477" s="35"/>
    </row>
    <row r="478" spans="1:19" ht="30" customHeight="1" thickBot="1" x14ac:dyDescent="0.4">
      <c r="A478" s="186"/>
      <c r="B478" s="567"/>
      <c r="C478" s="567"/>
      <c r="D478" s="567"/>
      <c r="E478" s="194"/>
      <c r="F478" s="186"/>
      <c r="G478" s="186"/>
      <c r="H478" s="186"/>
      <c r="I478" s="186"/>
      <c r="J478" s="494" t="s">
        <v>37</v>
      </c>
      <c r="K478" s="194">
        <f>SUM(K477:K477)</f>
        <v>599</v>
      </c>
      <c r="L478" s="186" t="s">
        <v>108</v>
      </c>
      <c r="M478" s="50"/>
      <c r="N478" s="50"/>
      <c r="O478" s="5"/>
      <c r="P478" s="9"/>
      <c r="Q478" s="34"/>
      <c r="R478" s="5"/>
      <c r="S478" s="35"/>
    </row>
    <row r="479" spans="1:19" ht="30" customHeight="1" thickBot="1" x14ac:dyDescent="0.4">
      <c r="A479" s="1199"/>
      <c r="B479" s="1200"/>
      <c r="C479" s="1200"/>
      <c r="D479" s="1200"/>
      <c r="E479" s="1200"/>
      <c r="F479" s="1200"/>
      <c r="G479" s="1200"/>
      <c r="H479" s="1200"/>
      <c r="I479" s="1200"/>
      <c r="J479" s="1200"/>
      <c r="K479" s="1200"/>
      <c r="L479" s="1201"/>
      <c r="M479" s="50"/>
      <c r="N479" s="50"/>
      <c r="O479" s="5"/>
      <c r="P479" s="9"/>
      <c r="Q479" s="34"/>
      <c r="R479" s="5"/>
      <c r="S479" s="35"/>
    </row>
    <row r="480" spans="1:19" ht="30" customHeight="1" x14ac:dyDescent="0.35">
      <c r="A480" s="388" t="s">
        <v>1</v>
      </c>
      <c r="B480" s="389">
        <v>1441</v>
      </c>
      <c r="C480" s="453" t="s">
        <v>246</v>
      </c>
      <c r="D480" s="659"/>
      <c r="E480" s="392" t="s">
        <v>3</v>
      </c>
      <c r="F480" s="393" t="s">
        <v>108</v>
      </c>
      <c r="G480" s="390" t="s">
        <v>38</v>
      </c>
      <c r="H480" s="660">
        <v>5341</v>
      </c>
      <c r="I480" s="392" t="s">
        <v>5</v>
      </c>
      <c r="J480" s="1207" t="s">
        <v>186</v>
      </c>
      <c r="K480" s="1207"/>
      <c r="L480" s="1208"/>
      <c r="M480" s="50"/>
      <c r="N480" s="50"/>
      <c r="O480" s="5"/>
      <c r="P480" s="9"/>
      <c r="Q480" s="34"/>
      <c r="R480" s="5"/>
      <c r="S480" s="35"/>
    </row>
    <row r="481" spans="1:19" ht="30" customHeight="1" x14ac:dyDescent="0.35">
      <c r="A481" s="494" t="s">
        <v>187</v>
      </c>
      <c r="B481" s="1280" t="s">
        <v>211</v>
      </c>
      <c r="C481" s="1281"/>
      <c r="D481" s="1282"/>
      <c r="E481" s="566" t="s">
        <v>52</v>
      </c>
      <c r="F481" s="566" t="s">
        <v>53</v>
      </c>
      <c r="G481" s="1219" t="s">
        <v>54</v>
      </c>
      <c r="H481" s="1220"/>
      <c r="I481" s="632" t="s">
        <v>188</v>
      </c>
      <c r="J481" s="632"/>
      <c r="K481" s="1209" t="s">
        <v>180</v>
      </c>
      <c r="L481" s="1210"/>
      <c r="M481" s="50"/>
      <c r="N481" s="50"/>
      <c r="O481" s="5"/>
      <c r="P481" s="9"/>
      <c r="Q481" s="34"/>
      <c r="R481" s="5"/>
      <c r="S481" s="35"/>
    </row>
    <row r="482" spans="1:19" ht="30" customHeight="1" x14ac:dyDescent="0.35">
      <c r="A482" s="186" t="s">
        <v>247</v>
      </c>
      <c r="B482" s="1202" t="s">
        <v>248</v>
      </c>
      <c r="C482" s="1203"/>
      <c r="D482" s="1204"/>
      <c r="E482" s="194">
        <v>214</v>
      </c>
      <c r="F482" s="186" t="s">
        <v>108</v>
      </c>
      <c r="G482" s="117"/>
      <c r="H482" s="375"/>
      <c r="I482" s="186">
        <v>1.19</v>
      </c>
      <c r="J482" s="186"/>
      <c r="K482" s="194">
        <f>+E482*I482</f>
        <v>254.66</v>
      </c>
      <c r="L482" s="186" t="s">
        <v>108</v>
      </c>
      <c r="M482" s="50"/>
      <c r="N482" s="50"/>
      <c r="O482" s="5"/>
      <c r="P482" s="9"/>
      <c r="Q482" s="34"/>
      <c r="R482" s="5"/>
      <c r="S482" s="35"/>
    </row>
    <row r="483" spans="1:19" ht="30" customHeight="1" x14ac:dyDescent="0.35">
      <c r="A483" s="186" t="s">
        <v>249</v>
      </c>
      <c r="B483" s="1202" t="s">
        <v>250</v>
      </c>
      <c r="C483" s="1203"/>
      <c r="D483" s="1204"/>
      <c r="E483" s="194">
        <v>3.71</v>
      </c>
      <c r="F483" s="186" t="s">
        <v>108</v>
      </c>
      <c r="G483" s="117"/>
      <c r="H483" s="375"/>
      <c r="I483" s="186">
        <v>1.19</v>
      </c>
      <c r="J483" s="186"/>
      <c r="K483" s="194">
        <f>+E483*I483</f>
        <v>4.4148999999999994</v>
      </c>
      <c r="L483" s="186" t="s">
        <v>108</v>
      </c>
      <c r="M483" s="50"/>
      <c r="N483" s="50"/>
    </row>
    <row r="484" spans="1:19" ht="30" customHeight="1" x14ac:dyDescent="0.35">
      <c r="A484" s="186"/>
      <c r="B484" s="1211"/>
      <c r="C484" s="1211"/>
      <c r="D484" s="1211"/>
      <c r="E484" s="194"/>
      <c r="F484" s="186"/>
      <c r="G484" s="186"/>
      <c r="H484" s="186"/>
      <c r="I484" s="186"/>
      <c r="J484" s="186" t="s">
        <v>251</v>
      </c>
      <c r="K484" s="194">
        <f>SUM(K482:K483)</f>
        <v>259.07490000000001</v>
      </c>
      <c r="L484" s="186" t="s">
        <v>108</v>
      </c>
      <c r="M484" s="50"/>
      <c r="N484" s="50"/>
      <c r="O484" s="5"/>
      <c r="P484" s="9"/>
      <c r="Q484" s="34"/>
      <c r="R484" s="5"/>
      <c r="S484" s="35"/>
    </row>
    <row r="485" spans="1:19" ht="30" customHeight="1" x14ac:dyDescent="0.35">
      <c r="A485" s="186"/>
      <c r="B485" s="567"/>
      <c r="C485" s="567"/>
      <c r="D485" s="567"/>
      <c r="E485" s="194"/>
      <c r="F485" s="1215" t="s">
        <v>195</v>
      </c>
      <c r="G485" s="1273" t="s">
        <v>252</v>
      </c>
      <c r="H485" s="1273"/>
      <c r="I485" s="1273"/>
      <c r="J485" s="1273"/>
      <c r="K485" s="197">
        <v>1.08</v>
      </c>
      <c r="L485" s="186"/>
      <c r="M485" s="50"/>
      <c r="N485" s="50"/>
      <c r="O485" s="5"/>
      <c r="P485" s="9"/>
      <c r="Q485" s="34"/>
      <c r="R485" s="5"/>
      <c r="S485" s="35"/>
    </row>
    <row r="486" spans="1:19" ht="30" customHeight="1" x14ac:dyDescent="0.35">
      <c r="A486" s="186"/>
      <c r="B486" s="567"/>
      <c r="C486" s="567"/>
      <c r="D486" s="567"/>
      <c r="E486" s="194"/>
      <c r="F486" s="1216"/>
      <c r="G486" s="1268" t="s">
        <v>197</v>
      </c>
      <c r="H486" s="1268"/>
      <c r="I486" s="1268"/>
      <c r="J486" s="1268"/>
      <c r="K486" s="196">
        <v>1.06</v>
      </c>
      <c r="L486" s="186"/>
      <c r="M486" s="50"/>
      <c r="N486" s="50"/>
      <c r="O486" s="5"/>
      <c r="P486" s="9"/>
      <c r="Q486" s="34"/>
      <c r="R486" s="5"/>
      <c r="S486" s="35"/>
    </row>
    <row r="487" spans="1:19" ht="30" customHeight="1" x14ac:dyDescent="0.35">
      <c r="A487" s="186"/>
      <c r="B487" s="186"/>
      <c r="C487" s="503"/>
      <c r="D487" s="503"/>
      <c r="E487" s="503"/>
      <c r="F487" s="503"/>
      <c r="G487" s="503"/>
      <c r="H487" s="503"/>
      <c r="I487" s="503"/>
      <c r="J487" s="186" t="s">
        <v>37</v>
      </c>
      <c r="K487" s="193">
        <f>+K484*K485/K486</f>
        <v>263.96310566037738</v>
      </c>
      <c r="L487" s="186" t="s">
        <v>108</v>
      </c>
      <c r="N487" s="50"/>
      <c r="O487" s="5"/>
      <c r="P487" s="9"/>
      <c r="Q487" s="34"/>
      <c r="R487" s="5"/>
      <c r="S487" s="35"/>
    </row>
    <row r="488" spans="1:19" ht="30" customHeight="1" x14ac:dyDescent="0.35">
      <c r="A488" s="186"/>
      <c r="B488" s="186"/>
      <c r="C488" s="503"/>
      <c r="D488" s="503"/>
      <c r="E488" s="503"/>
      <c r="F488" s="503"/>
      <c r="G488" s="1374" t="s">
        <v>257</v>
      </c>
      <c r="H488" s="1375"/>
      <c r="I488" s="1376"/>
      <c r="J488" s="560">
        <f>VLOOKUP(B480,'Mil Cost Premiums for PUCs'!$A$4:$R$285,18,FALSE)</f>
        <v>1.3319480854780448</v>
      </c>
      <c r="K488" s="193">
        <f>+K487*J488</f>
        <v>351.58515322117847</v>
      </c>
      <c r="L488" s="186" t="s">
        <v>108</v>
      </c>
      <c r="M488" s="50"/>
      <c r="N488" s="50"/>
      <c r="O488" s="5"/>
      <c r="P488" s="9"/>
      <c r="Q488" s="34"/>
      <c r="R488" s="5"/>
      <c r="S488" s="35"/>
    </row>
    <row r="489" spans="1:19" ht="30" customHeight="1" x14ac:dyDescent="0.35">
      <c r="A489" s="569"/>
      <c r="B489" s="569"/>
      <c r="C489" s="510"/>
      <c r="D489" s="510"/>
      <c r="E489" s="510"/>
      <c r="F489" s="510"/>
      <c r="G489" s="1191" t="s">
        <v>2817</v>
      </c>
      <c r="H489" s="1192"/>
      <c r="I489" s="1193"/>
      <c r="J489" s="570">
        <v>1.1214</v>
      </c>
      <c r="K489" s="285">
        <f>+K488*J489</f>
        <v>394.26759082222952</v>
      </c>
      <c r="L489" s="569" t="s">
        <v>108</v>
      </c>
      <c r="M489" s="50"/>
      <c r="N489" s="50"/>
      <c r="O489" s="5"/>
      <c r="P489" s="9"/>
      <c r="Q489" s="34"/>
      <c r="R489" s="5"/>
      <c r="S489" s="35"/>
    </row>
    <row r="490" spans="1:19" ht="30" customHeight="1" thickBot="1" x14ac:dyDescent="0.4">
      <c r="A490" s="569"/>
      <c r="B490" s="569"/>
      <c r="C490" s="510"/>
      <c r="D490" s="510"/>
      <c r="E490" s="510"/>
      <c r="F490" s="510"/>
      <c r="G490" s="1191" t="s">
        <v>3000</v>
      </c>
      <c r="H490" s="1192"/>
      <c r="I490" s="1193"/>
      <c r="J490" s="570">
        <v>1.0438745311870332</v>
      </c>
      <c r="K490" s="285">
        <f>+K489*J490</f>
        <v>411.56589653179589</v>
      </c>
      <c r="L490" s="569" t="s">
        <v>108</v>
      </c>
      <c r="M490" s="50"/>
      <c r="N490" s="50"/>
      <c r="O490" s="5"/>
      <c r="P490" s="9"/>
      <c r="Q490" s="34"/>
      <c r="R490" s="5"/>
      <c r="S490" s="35"/>
    </row>
    <row r="491" spans="1:19" ht="30" customHeight="1" thickBot="1" x14ac:dyDescent="0.4">
      <c r="A491" s="1199"/>
      <c r="B491" s="1200"/>
      <c r="C491" s="1200"/>
      <c r="D491" s="1200"/>
      <c r="E491" s="1200"/>
      <c r="F491" s="1200"/>
      <c r="G491" s="1200"/>
      <c r="H491" s="1200"/>
      <c r="I491" s="1200"/>
      <c r="J491" s="1200"/>
      <c r="K491" s="1200"/>
      <c r="L491" s="1201"/>
      <c r="M491" s="50"/>
      <c r="N491" s="50"/>
      <c r="O491" s="5"/>
      <c r="P491" s="9"/>
      <c r="Q491" s="34"/>
      <c r="R491" s="5"/>
      <c r="S491" s="35"/>
    </row>
    <row r="492" spans="1:19" ht="30" customHeight="1" x14ac:dyDescent="0.35">
      <c r="A492" s="388" t="s">
        <v>1</v>
      </c>
      <c r="B492" s="389">
        <v>1442</v>
      </c>
      <c r="C492" s="1345" t="s">
        <v>253</v>
      </c>
      <c r="D492" s="1346"/>
      <c r="E492" s="392" t="s">
        <v>3</v>
      </c>
      <c r="F492" s="393" t="s">
        <v>108</v>
      </c>
      <c r="G492" s="390" t="s">
        <v>38</v>
      </c>
      <c r="H492" s="660">
        <v>8236</v>
      </c>
      <c r="I492" s="392" t="s">
        <v>5</v>
      </c>
      <c r="J492" s="1207" t="s">
        <v>186</v>
      </c>
      <c r="K492" s="1207"/>
      <c r="L492" s="1208"/>
      <c r="M492" s="50"/>
      <c r="N492" s="50"/>
      <c r="O492" s="5"/>
      <c r="P492" s="9"/>
      <c r="Q492" s="34"/>
      <c r="R492" s="5"/>
      <c r="S492" s="35"/>
    </row>
    <row r="493" spans="1:19" ht="30" customHeight="1" x14ac:dyDescent="0.35">
      <c r="A493" s="494" t="s">
        <v>187</v>
      </c>
      <c r="B493" s="1280" t="s">
        <v>211</v>
      </c>
      <c r="C493" s="1281"/>
      <c r="D493" s="1282"/>
      <c r="E493" s="566" t="s">
        <v>52</v>
      </c>
      <c r="F493" s="566" t="s">
        <v>53</v>
      </c>
      <c r="G493" s="1219" t="s">
        <v>54</v>
      </c>
      <c r="H493" s="1220"/>
      <c r="I493" s="632" t="s">
        <v>188</v>
      </c>
      <c r="J493" s="632"/>
      <c r="K493" s="1209" t="s">
        <v>180</v>
      </c>
      <c r="L493" s="1210"/>
      <c r="M493" s="50"/>
      <c r="N493" s="50"/>
    </row>
    <row r="494" spans="1:19" ht="60" customHeight="1" x14ac:dyDescent="0.35">
      <c r="A494" s="186" t="s">
        <v>254</v>
      </c>
      <c r="B494" s="1202" t="s">
        <v>255</v>
      </c>
      <c r="C494" s="1203"/>
      <c r="D494" s="1204"/>
      <c r="E494" s="194">
        <v>242</v>
      </c>
      <c r="F494" s="186" t="s">
        <v>108</v>
      </c>
      <c r="G494" s="117"/>
      <c r="H494" s="375"/>
      <c r="I494" s="186">
        <v>1.19</v>
      </c>
      <c r="J494" s="186"/>
      <c r="K494" s="194">
        <f>+E494*I494</f>
        <v>287.97999999999996</v>
      </c>
      <c r="L494" s="186" t="s">
        <v>108</v>
      </c>
      <c r="M494" s="50"/>
      <c r="N494" s="50"/>
      <c r="O494" s="5"/>
      <c r="P494" s="9"/>
      <c r="Q494" s="34"/>
      <c r="R494" s="5"/>
      <c r="S494" s="35"/>
    </row>
    <row r="495" spans="1:19" ht="30" customHeight="1" x14ac:dyDescent="0.35">
      <c r="A495" s="186" t="s">
        <v>249</v>
      </c>
      <c r="B495" s="1202" t="s">
        <v>256</v>
      </c>
      <c r="C495" s="1203"/>
      <c r="D495" s="1204"/>
      <c r="E495" s="194">
        <v>4.38</v>
      </c>
      <c r="F495" s="186" t="s">
        <v>108</v>
      </c>
      <c r="G495" s="117"/>
      <c r="H495" s="375"/>
      <c r="I495" s="186">
        <v>1.19</v>
      </c>
      <c r="J495" s="186"/>
      <c r="K495" s="194">
        <f>+E495*I495</f>
        <v>5.2121999999999993</v>
      </c>
      <c r="L495" s="186" t="s">
        <v>108</v>
      </c>
      <c r="M495" s="50"/>
      <c r="O495" s="5"/>
      <c r="P495" s="9"/>
      <c r="Q495" s="34"/>
      <c r="R495" s="5"/>
      <c r="S495" s="35"/>
    </row>
    <row r="496" spans="1:19" ht="30" customHeight="1" x14ac:dyDescent="0.35">
      <c r="A496" s="186"/>
      <c r="B496" s="1211"/>
      <c r="C496" s="1211"/>
      <c r="D496" s="1211"/>
      <c r="E496" s="194"/>
      <c r="F496" s="186"/>
      <c r="G496" s="186"/>
      <c r="H496" s="186"/>
      <c r="I496" s="186"/>
      <c r="J496" s="186" t="s">
        <v>223</v>
      </c>
      <c r="K496" s="194">
        <f>SUM(K494:K495)</f>
        <v>293.19219999999996</v>
      </c>
      <c r="L496" s="186" t="s">
        <v>108</v>
      </c>
      <c r="M496" s="50"/>
      <c r="N496" s="50"/>
      <c r="O496" s="5"/>
      <c r="P496" s="9"/>
      <c r="Q496" s="34"/>
      <c r="R496" s="5"/>
      <c r="S496" s="35"/>
    </row>
    <row r="497" spans="1:21" ht="30" customHeight="1" x14ac:dyDescent="0.35">
      <c r="A497" s="186"/>
      <c r="B497" s="567"/>
      <c r="C497" s="567"/>
      <c r="D497" s="567"/>
      <c r="E497" s="194"/>
      <c r="F497" s="1215" t="s">
        <v>195</v>
      </c>
      <c r="G497" s="1273" t="s">
        <v>196</v>
      </c>
      <c r="H497" s="1273"/>
      <c r="I497" s="1273"/>
      <c r="J497" s="1273"/>
      <c r="K497" s="197">
        <v>1.08</v>
      </c>
      <c r="L497" s="186"/>
      <c r="M497" s="50"/>
      <c r="N497" s="50"/>
      <c r="O497" s="5"/>
      <c r="P497" s="9"/>
      <c r="Q497" s="34"/>
      <c r="R497" s="5"/>
      <c r="S497" s="35"/>
    </row>
    <row r="498" spans="1:21" ht="30" customHeight="1" x14ac:dyDescent="0.35">
      <c r="A498" s="186"/>
      <c r="B498" s="567"/>
      <c r="C498" s="567"/>
      <c r="D498" s="567"/>
      <c r="E498" s="194"/>
      <c r="F498" s="1216"/>
      <c r="G498" s="1268" t="s">
        <v>197</v>
      </c>
      <c r="H498" s="1268"/>
      <c r="I498" s="1268"/>
      <c r="J498" s="1268"/>
      <c r="K498" s="197">
        <v>1.06</v>
      </c>
      <c r="L498" s="186"/>
      <c r="M498" s="50"/>
      <c r="N498" s="50"/>
      <c r="O498" s="5"/>
      <c r="P498" s="9"/>
      <c r="Q498" s="34"/>
      <c r="R498" s="5"/>
      <c r="S498" s="35"/>
    </row>
    <row r="499" spans="1:21" ht="30" customHeight="1" x14ac:dyDescent="0.35">
      <c r="A499" s="186"/>
      <c r="B499" s="186"/>
      <c r="C499" s="503"/>
      <c r="D499" s="503"/>
      <c r="E499" s="503"/>
      <c r="F499" s="503"/>
      <c r="G499" s="503"/>
      <c r="H499" s="503"/>
      <c r="I499" s="503"/>
      <c r="J499" s="186" t="s">
        <v>37</v>
      </c>
      <c r="K499" s="193">
        <f>+K496*K497/K498</f>
        <v>298.72412830188676</v>
      </c>
      <c r="L499" s="186" t="s">
        <v>108</v>
      </c>
      <c r="M499" s="50"/>
      <c r="N499" s="96"/>
      <c r="O499" s="665"/>
      <c r="P499" s="9"/>
      <c r="Q499" s="34"/>
      <c r="R499" s="5"/>
      <c r="S499" s="35"/>
    </row>
    <row r="500" spans="1:21" ht="30" customHeight="1" x14ac:dyDescent="0.35">
      <c r="A500" s="176"/>
      <c r="B500" s="661"/>
      <c r="C500" s="662"/>
      <c r="D500" s="662"/>
      <c r="E500" s="662"/>
      <c r="F500" s="662"/>
      <c r="G500" s="1357" t="s">
        <v>257</v>
      </c>
      <c r="H500" s="1357"/>
      <c r="I500" s="1358"/>
      <c r="J500" s="560">
        <f>VLOOKUP(B492,'Mil Cost Premiums for PUCs'!$A$4:$R$285,18,FALSE)</f>
        <v>1.3319480854780448</v>
      </c>
      <c r="K500" s="178">
        <f>+K499*J500</f>
        <v>397.88503077779586</v>
      </c>
      <c r="L500" s="186" t="s">
        <v>108</v>
      </c>
      <c r="M500" s="50"/>
      <c r="O500" s="5"/>
      <c r="P500" s="9"/>
      <c r="Q500" s="34"/>
      <c r="R500" s="5"/>
      <c r="S500" s="35"/>
    </row>
    <row r="501" spans="1:21" ht="30" customHeight="1" x14ac:dyDescent="0.35">
      <c r="A501" s="569"/>
      <c r="B501" s="569"/>
      <c r="C501" s="510"/>
      <c r="D501" s="510"/>
      <c r="E501" s="510"/>
      <c r="F501" s="510"/>
      <c r="G501" s="1191" t="s">
        <v>2817</v>
      </c>
      <c r="H501" s="1192"/>
      <c r="I501" s="1193"/>
      <c r="J501" s="570">
        <v>1.1214</v>
      </c>
      <c r="K501" s="285">
        <f>+K500*J501</f>
        <v>446.18827351422027</v>
      </c>
      <c r="L501" s="186" t="s">
        <v>108</v>
      </c>
      <c r="M501" s="50"/>
      <c r="N501" s="50"/>
      <c r="O501" s="5"/>
      <c r="P501" s="9"/>
      <c r="Q501" s="34"/>
      <c r="R501" s="5"/>
      <c r="S501" s="35"/>
    </row>
    <row r="502" spans="1:21" ht="75" customHeight="1" x14ac:dyDescent="0.35">
      <c r="A502" s="569"/>
      <c r="B502" s="569"/>
      <c r="C502" s="510"/>
      <c r="D502" s="510"/>
      <c r="E502" s="510"/>
      <c r="F502" s="510"/>
      <c r="G502" s="1191" t="s">
        <v>3000</v>
      </c>
      <c r="H502" s="1192"/>
      <c r="I502" s="1193"/>
      <c r="J502" s="570">
        <v>1.0438745311870361</v>
      </c>
      <c r="K502" s="285">
        <f>+K501*J502</f>
        <v>465.7645748358097</v>
      </c>
      <c r="L502" s="186" t="s">
        <v>108</v>
      </c>
      <c r="M502" s="50"/>
      <c r="N502" s="50"/>
      <c r="O502" s="5"/>
      <c r="P502" s="9"/>
      <c r="Q502" s="34"/>
      <c r="R502" s="5"/>
      <c r="S502" s="35"/>
    </row>
    <row r="503" spans="1:21" ht="30" customHeight="1" x14ac:dyDescent="0.35">
      <c r="A503" s="1690" t="s">
        <v>198</v>
      </c>
      <c r="B503" s="1690"/>
      <c r="C503" s="1690"/>
      <c r="D503" s="1690"/>
      <c r="E503" s="1690"/>
      <c r="F503" s="1690"/>
      <c r="G503" s="1690"/>
      <c r="H503" s="1690"/>
      <c r="I503" s="1690"/>
      <c r="J503" s="1690"/>
      <c r="K503" s="1690"/>
      <c r="L503" s="1690"/>
      <c r="M503" s="50"/>
      <c r="N503" s="50"/>
      <c r="O503" s="5"/>
      <c r="P503" s="9"/>
      <c r="Q503" s="34"/>
      <c r="R503" s="5"/>
      <c r="S503" s="35"/>
    </row>
    <row r="504" spans="1:21" ht="30" customHeight="1" x14ac:dyDescent="0.35">
      <c r="A504" s="1266" t="s">
        <v>199</v>
      </c>
      <c r="B504" s="1267"/>
      <c r="C504" s="1267"/>
      <c r="D504" s="1274" t="s">
        <v>258</v>
      </c>
      <c r="E504" s="1535"/>
      <c r="F504" s="1535"/>
      <c r="G504" s="1535"/>
      <c r="H504" s="1535"/>
      <c r="I504" s="1535"/>
      <c r="J504" s="1535"/>
      <c r="K504" s="1535"/>
      <c r="L504" s="1536"/>
      <c r="M504" s="50"/>
      <c r="N504" s="50"/>
      <c r="O504" s="5"/>
      <c r="P504" s="9"/>
      <c r="Q504" s="34"/>
      <c r="R504" s="5"/>
      <c r="S504" s="35"/>
    </row>
    <row r="505" spans="1:21" ht="30" customHeight="1" x14ac:dyDescent="0.35">
      <c r="A505" s="1266" t="s">
        <v>200</v>
      </c>
      <c r="B505" s="1267"/>
      <c r="C505" s="1267"/>
      <c r="D505" s="1690" t="s">
        <v>259</v>
      </c>
      <c r="E505" s="1690"/>
      <c r="F505" s="1690"/>
      <c r="G505" s="1690"/>
      <c r="H505" s="1690"/>
      <c r="I505" s="1690"/>
      <c r="J505" s="1690"/>
      <c r="K505" s="1690"/>
      <c r="L505" s="1690"/>
      <c r="M505" s="50"/>
      <c r="N505" s="50"/>
      <c r="O505" s="5"/>
      <c r="P505" s="9"/>
      <c r="Q505" s="34"/>
      <c r="R505" s="5"/>
      <c r="S505" s="35"/>
    </row>
    <row r="506" spans="1:21" ht="30" customHeight="1" x14ac:dyDescent="0.35">
      <c r="A506" s="1266" t="s">
        <v>201</v>
      </c>
      <c r="B506" s="1267"/>
      <c r="C506" s="1267"/>
      <c r="D506" s="1274" t="s">
        <v>260</v>
      </c>
      <c r="E506" s="1535"/>
      <c r="F506" s="1535"/>
      <c r="G506" s="1535"/>
      <c r="H506" s="1535"/>
      <c r="I506" s="1535"/>
      <c r="J506" s="1535"/>
      <c r="K506" s="1535"/>
      <c r="L506" s="1536"/>
      <c r="M506" s="50"/>
      <c r="N506" s="50"/>
      <c r="O506" s="5"/>
      <c r="P506" s="9"/>
      <c r="Q506" s="34"/>
      <c r="R506" s="5"/>
      <c r="S506" s="35"/>
    </row>
    <row r="507" spans="1:21" ht="30" customHeight="1" x14ac:dyDescent="0.35">
      <c r="A507" s="1266" t="s">
        <v>202</v>
      </c>
      <c r="B507" s="1267"/>
      <c r="C507" s="1267"/>
      <c r="D507" s="1274" t="s">
        <v>261</v>
      </c>
      <c r="E507" s="1535"/>
      <c r="F507" s="1535"/>
      <c r="G507" s="1535"/>
      <c r="H507" s="1535"/>
      <c r="I507" s="1535"/>
      <c r="J507" s="1535"/>
      <c r="K507" s="1535"/>
      <c r="L507" s="1536"/>
      <c r="M507" s="50"/>
      <c r="N507" s="50"/>
      <c r="O507" s="5"/>
      <c r="P507" s="9"/>
      <c r="Q507" s="34"/>
      <c r="R507" s="5"/>
      <c r="S507" s="35"/>
    </row>
    <row r="508" spans="1:21" ht="30" customHeight="1" x14ac:dyDescent="0.35">
      <c r="A508" s="1266" t="s">
        <v>203</v>
      </c>
      <c r="B508" s="1267"/>
      <c r="C508" s="1267"/>
      <c r="D508" s="1274" t="s">
        <v>262</v>
      </c>
      <c r="E508" s="1535"/>
      <c r="F508" s="1535"/>
      <c r="G508" s="1535"/>
      <c r="H508" s="1535"/>
      <c r="I508" s="1535"/>
      <c r="J508" s="1535"/>
      <c r="K508" s="1535"/>
      <c r="L508" s="1536"/>
      <c r="M508" s="50"/>
      <c r="N508" s="50"/>
      <c r="T508" s="10"/>
      <c r="U508" s="10"/>
    </row>
    <row r="509" spans="1:21" ht="30" customHeight="1" x14ac:dyDescent="0.35">
      <c r="A509" s="1266" t="s">
        <v>205</v>
      </c>
      <c r="B509" s="1267"/>
      <c r="C509" s="1267"/>
      <c r="D509" s="1534" t="s">
        <v>263</v>
      </c>
      <c r="E509" s="1535"/>
      <c r="F509" s="1535"/>
      <c r="G509" s="1535"/>
      <c r="H509" s="1535"/>
      <c r="I509" s="1535"/>
      <c r="J509" s="1535"/>
      <c r="K509" s="1535"/>
      <c r="L509" s="1536"/>
      <c r="M509" s="50"/>
      <c r="N509" s="50"/>
    </row>
    <row r="510" spans="1:21" ht="30" customHeight="1" x14ac:dyDescent="0.35">
      <c r="A510" s="1266" t="s">
        <v>207</v>
      </c>
      <c r="B510" s="1267"/>
      <c r="C510" s="1267"/>
      <c r="D510" s="1534" t="s">
        <v>264</v>
      </c>
      <c r="E510" s="1535"/>
      <c r="F510" s="1535"/>
      <c r="G510" s="1535"/>
      <c r="H510" s="1535"/>
      <c r="I510" s="1535"/>
      <c r="J510" s="1535"/>
      <c r="K510" s="1535"/>
      <c r="L510" s="1536"/>
      <c r="M510" s="50"/>
      <c r="N510" s="50"/>
      <c r="O510" s="5"/>
      <c r="P510" s="9"/>
      <c r="Q510" s="34"/>
      <c r="R510" s="5"/>
      <c r="S510" s="35"/>
    </row>
    <row r="511" spans="1:21" ht="30" customHeight="1" thickBot="1" x14ac:dyDescent="0.4">
      <c r="A511" s="1266" t="s">
        <v>208</v>
      </c>
      <c r="B511" s="1267"/>
      <c r="C511" s="1267"/>
      <c r="D511" s="1543" t="s">
        <v>265</v>
      </c>
      <c r="E511" s="1544"/>
      <c r="F511" s="1544"/>
      <c r="G511" s="1544"/>
      <c r="H511" s="1544"/>
      <c r="I511" s="1544"/>
      <c r="J511" s="1544"/>
      <c r="K511" s="1544"/>
      <c r="L511" s="1544"/>
      <c r="M511" s="50"/>
      <c r="N511" s="50"/>
      <c r="O511" s="5"/>
      <c r="P511" s="9"/>
      <c r="Q511" s="34"/>
      <c r="R511" s="5"/>
      <c r="S511" s="35"/>
    </row>
    <row r="512" spans="1:21" ht="30" customHeight="1" thickBot="1" x14ac:dyDescent="0.4">
      <c r="A512" s="1199"/>
      <c r="B512" s="1200"/>
      <c r="C512" s="1200"/>
      <c r="D512" s="1200"/>
      <c r="E512" s="1200"/>
      <c r="F512" s="1200"/>
      <c r="G512" s="1200"/>
      <c r="H512" s="1200"/>
      <c r="I512" s="1200"/>
      <c r="J512" s="1200"/>
      <c r="K512" s="1200"/>
      <c r="L512" s="1201"/>
      <c r="M512" s="50"/>
      <c r="N512" s="97"/>
      <c r="O512" s="5"/>
      <c r="P512" s="9"/>
      <c r="Q512" s="34"/>
      <c r="R512" s="5"/>
      <c r="S512" s="35"/>
    </row>
    <row r="513" spans="1:19" ht="30" customHeight="1" x14ac:dyDescent="0.35">
      <c r="A513" s="388" t="s">
        <v>1</v>
      </c>
      <c r="B513" s="389">
        <v>1443</v>
      </c>
      <c r="C513" s="1345" t="s">
        <v>266</v>
      </c>
      <c r="D513" s="1346"/>
      <c r="E513" s="392" t="s">
        <v>3</v>
      </c>
      <c r="F513" s="393" t="s">
        <v>108</v>
      </c>
      <c r="G513" s="390" t="s">
        <v>38</v>
      </c>
      <c r="H513" s="333">
        <v>12770.060376914</v>
      </c>
      <c r="I513" s="392" t="s">
        <v>5</v>
      </c>
      <c r="J513" s="1207" t="s">
        <v>2538</v>
      </c>
      <c r="K513" s="1207"/>
      <c r="L513" s="1208"/>
      <c r="M513" s="50"/>
      <c r="N513" s="50"/>
      <c r="O513" s="5"/>
      <c r="P513" s="9"/>
      <c r="Q513" s="34"/>
      <c r="R513" s="5"/>
      <c r="S513" s="35"/>
    </row>
    <row r="514" spans="1:19" ht="30" customHeight="1" x14ac:dyDescent="0.35">
      <c r="A514" s="185" t="s">
        <v>177</v>
      </c>
      <c r="B514" s="1272" t="s">
        <v>7</v>
      </c>
      <c r="C514" s="1272"/>
      <c r="D514" s="1272"/>
      <c r="E514" s="492" t="s">
        <v>178</v>
      </c>
      <c r="F514" s="397" t="s">
        <v>52</v>
      </c>
      <c r="G514" s="1225" t="s">
        <v>54</v>
      </c>
      <c r="H514" s="1226"/>
      <c r="I514" s="1221" t="s">
        <v>179</v>
      </c>
      <c r="J514" s="1222"/>
      <c r="K514" s="1209" t="s">
        <v>180</v>
      </c>
      <c r="L514" s="1210"/>
      <c r="M514" s="50"/>
      <c r="N514" s="50"/>
      <c r="O514" s="396"/>
      <c r="P514" s="396"/>
      <c r="Q514" s="34"/>
      <c r="R514" s="5"/>
      <c r="S514" s="35"/>
    </row>
    <row r="515" spans="1:19" ht="30" customHeight="1" x14ac:dyDescent="0.35">
      <c r="A515" s="401">
        <v>17122</v>
      </c>
      <c r="B515" s="1389" t="s">
        <v>2846</v>
      </c>
      <c r="C515" s="1390"/>
      <c r="D515" s="1391"/>
      <c r="E515" s="531">
        <v>800</v>
      </c>
      <c r="F515" s="187">
        <v>532</v>
      </c>
      <c r="G515" s="666"/>
      <c r="H515" s="667"/>
      <c r="I515" s="1551">
        <f>+'FY2024 MILCON Inflation Table'!F22</f>
        <v>0.95834826759383673</v>
      </c>
      <c r="J515" s="1552"/>
      <c r="K515" s="187">
        <f>+F515*I515</f>
        <v>509.84127835992115</v>
      </c>
      <c r="L515" s="401" t="s">
        <v>108</v>
      </c>
      <c r="M515" s="50"/>
      <c r="N515" s="50"/>
      <c r="O515" s="396"/>
      <c r="P515" s="396"/>
      <c r="Q515" s="34"/>
      <c r="R515" s="5"/>
      <c r="S515" s="35"/>
    </row>
    <row r="516" spans="1:19" ht="30" customHeight="1" x14ac:dyDescent="0.35">
      <c r="A516" s="401">
        <v>44220</v>
      </c>
      <c r="B516" s="1389" t="s">
        <v>2848</v>
      </c>
      <c r="C516" s="1390"/>
      <c r="D516" s="1391"/>
      <c r="E516" s="531">
        <v>3000</v>
      </c>
      <c r="F516" s="187">
        <v>209</v>
      </c>
      <c r="G516" s="532"/>
      <c r="H516" s="533"/>
      <c r="I516" s="1217">
        <f>+I515</f>
        <v>0.95834826759383673</v>
      </c>
      <c r="J516" s="1218"/>
      <c r="K516" s="187">
        <f>+F516*I516</f>
        <v>200.29478792711188</v>
      </c>
      <c r="L516" s="401" t="s">
        <v>108</v>
      </c>
      <c r="M516" s="50"/>
      <c r="N516" s="97"/>
      <c r="O516" s="396"/>
      <c r="P516" s="396"/>
      <c r="Q516" s="34"/>
      <c r="R516" s="5"/>
      <c r="S516" s="35"/>
    </row>
    <row r="517" spans="1:19" ht="30" customHeight="1" x14ac:dyDescent="0.35">
      <c r="A517" s="186"/>
      <c r="B517" s="567"/>
      <c r="C517" s="567"/>
      <c r="D517" s="567"/>
      <c r="E517" s="194"/>
      <c r="F517" s="186"/>
      <c r="G517" s="186"/>
      <c r="H517" s="186"/>
      <c r="I517" s="186"/>
      <c r="J517" s="186" t="s">
        <v>2847</v>
      </c>
      <c r="K517" s="194">
        <f>AVERAGE(K515:K516)</f>
        <v>355.06803314351652</v>
      </c>
      <c r="L517" s="186" t="s">
        <v>108</v>
      </c>
      <c r="N517" s="50"/>
      <c r="O517" s="396"/>
      <c r="P517" s="396"/>
      <c r="Q517" s="34"/>
      <c r="R517" s="5"/>
      <c r="S517" s="35"/>
    </row>
    <row r="518" spans="1:19" ht="30" customHeight="1" thickBot="1" x14ac:dyDescent="0.4">
      <c r="A518" s="186"/>
      <c r="B518" s="186"/>
      <c r="C518" s="503"/>
      <c r="D518" s="503"/>
      <c r="E518" s="503"/>
      <c r="F518" s="503"/>
      <c r="G518" s="1364"/>
      <c r="H518" s="1364"/>
      <c r="I518" s="1364"/>
      <c r="J518" s="670" t="s">
        <v>37</v>
      </c>
      <c r="K518" s="209">
        <f>+K517</f>
        <v>355.06803314351652</v>
      </c>
      <c r="L518" s="186" t="s">
        <v>108</v>
      </c>
      <c r="M518" s="50"/>
      <c r="N518" s="50"/>
      <c r="O518" s="396"/>
      <c r="P518" s="396"/>
      <c r="Q518" s="34"/>
      <c r="R518" s="5"/>
      <c r="S518" s="35"/>
    </row>
    <row r="519" spans="1:19" ht="30" customHeight="1" thickBot="1" x14ac:dyDescent="0.4">
      <c r="A519" s="1199"/>
      <c r="B519" s="1200"/>
      <c r="C519" s="1200"/>
      <c r="D519" s="1200"/>
      <c r="E519" s="1200"/>
      <c r="F519" s="1200"/>
      <c r="G519" s="1200"/>
      <c r="H519" s="1200"/>
      <c r="I519" s="1200"/>
      <c r="J519" s="1200"/>
      <c r="K519" s="1200"/>
      <c r="L519" s="1201"/>
      <c r="M519" s="50"/>
      <c r="N519" s="97"/>
      <c r="O519" s="396"/>
      <c r="P519" s="396"/>
      <c r="Q519" s="34"/>
      <c r="R519" s="5"/>
      <c r="S519" s="35"/>
    </row>
    <row r="520" spans="1:19" ht="30" customHeight="1" x14ac:dyDescent="0.35">
      <c r="A520" s="388" t="s">
        <v>1</v>
      </c>
      <c r="B520" s="389">
        <v>1444</v>
      </c>
      <c r="C520" s="1290" t="s">
        <v>279</v>
      </c>
      <c r="D520" s="1291"/>
      <c r="E520" s="392" t="s">
        <v>3</v>
      </c>
      <c r="F520" s="393" t="s">
        <v>108</v>
      </c>
      <c r="G520" s="390" t="s">
        <v>38</v>
      </c>
      <c r="H520" s="135">
        <v>11998.1778869876</v>
      </c>
      <c r="I520" s="392" t="s">
        <v>5</v>
      </c>
      <c r="J520" s="1304" t="s">
        <v>2861</v>
      </c>
      <c r="K520" s="1305"/>
      <c r="L520" s="1306"/>
      <c r="M520" s="50"/>
      <c r="N520" s="50"/>
      <c r="O520" s="5"/>
      <c r="P520" s="9"/>
      <c r="Q520" s="34"/>
      <c r="R520" s="5"/>
      <c r="S520" s="35"/>
    </row>
    <row r="521" spans="1:19" ht="30" customHeight="1" x14ac:dyDescent="0.35">
      <c r="A521" s="185" t="s">
        <v>177</v>
      </c>
      <c r="B521" s="1272" t="s">
        <v>7</v>
      </c>
      <c r="C521" s="1272"/>
      <c r="D521" s="1272"/>
      <c r="E521" s="492" t="s">
        <v>178</v>
      </c>
      <c r="F521" s="397" t="s">
        <v>52</v>
      </c>
      <c r="G521" s="185"/>
      <c r="H521" s="185"/>
      <c r="I521" s="1221" t="s">
        <v>179</v>
      </c>
      <c r="J521" s="1222"/>
      <c r="K521" s="1209" t="s">
        <v>180</v>
      </c>
      <c r="L521" s="1210"/>
      <c r="M521" s="50"/>
      <c r="N521" s="50"/>
      <c r="O521" s="5"/>
      <c r="P521" s="9"/>
      <c r="Q521" s="34"/>
      <c r="R521" s="5"/>
      <c r="S521" s="35"/>
    </row>
    <row r="522" spans="1:19" ht="30" customHeight="1" x14ac:dyDescent="0.35">
      <c r="A522" s="401" t="s">
        <v>181</v>
      </c>
      <c r="B522" s="1212" t="s">
        <v>1208</v>
      </c>
      <c r="C522" s="1213"/>
      <c r="D522" s="1214"/>
      <c r="E522" s="671">
        <v>43000</v>
      </c>
      <c r="F522" s="658">
        <v>599</v>
      </c>
      <c r="G522" s="532"/>
      <c r="H522" s="533"/>
      <c r="I522" s="1217" t="s">
        <v>2860</v>
      </c>
      <c r="J522" s="1218"/>
      <c r="K522" s="198">
        <f>+F522</f>
        <v>599</v>
      </c>
      <c r="L522" s="401" t="s">
        <v>108</v>
      </c>
      <c r="M522" s="50"/>
      <c r="N522" s="50"/>
      <c r="O522" s="5"/>
      <c r="P522" s="9"/>
      <c r="Q522" s="34"/>
      <c r="R522" s="5"/>
      <c r="S522" s="35"/>
    </row>
    <row r="523" spans="1:19" ht="30" customHeight="1" thickBot="1" x14ac:dyDescent="0.4">
      <c r="A523" s="186"/>
      <c r="B523" s="1264"/>
      <c r="C523" s="1264"/>
      <c r="D523" s="1264"/>
      <c r="F523" s="536"/>
      <c r="G523" s="536"/>
      <c r="H523" s="537"/>
      <c r="I523" s="503"/>
      <c r="J523" s="672" t="s">
        <v>37</v>
      </c>
      <c r="K523" s="193">
        <f>+K522</f>
        <v>599</v>
      </c>
      <c r="L523" s="186" t="s">
        <v>108</v>
      </c>
      <c r="M523" s="50"/>
      <c r="N523" s="50"/>
    </row>
    <row r="524" spans="1:19" ht="30" customHeight="1" thickBot="1" x14ac:dyDescent="0.4">
      <c r="A524" s="1199"/>
      <c r="B524" s="1200"/>
      <c r="C524" s="1200"/>
      <c r="D524" s="1200"/>
      <c r="E524" s="1200"/>
      <c r="F524" s="1200"/>
      <c r="G524" s="1200"/>
      <c r="H524" s="1200"/>
      <c r="I524" s="1200"/>
      <c r="J524" s="1200"/>
      <c r="K524" s="1200"/>
      <c r="L524" s="1201"/>
      <c r="M524" s="50"/>
      <c r="N524" s="50"/>
      <c r="O524" s="5"/>
      <c r="P524" s="9"/>
      <c r="Q524" s="34"/>
      <c r="R524" s="5"/>
      <c r="S524" s="35"/>
    </row>
    <row r="525" spans="1:19" s="396" customFormat="1" ht="30" customHeight="1" x14ac:dyDescent="0.35">
      <c r="A525" s="388" t="s">
        <v>1</v>
      </c>
      <c r="B525" s="389">
        <v>1445</v>
      </c>
      <c r="C525" s="1290" t="s">
        <v>280</v>
      </c>
      <c r="D525" s="1291"/>
      <c r="E525" s="392" t="s">
        <v>3</v>
      </c>
      <c r="F525" s="393" t="s">
        <v>108</v>
      </c>
      <c r="G525" s="390" t="s">
        <v>38</v>
      </c>
      <c r="H525" s="135">
        <v>3152</v>
      </c>
      <c r="I525" s="392" t="s">
        <v>5</v>
      </c>
      <c r="J525" s="1304" t="s">
        <v>2861</v>
      </c>
      <c r="K525" s="1305"/>
      <c r="L525" s="1306"/>
      <c r="M525" s="96"/>
      <c r="N525" s="50"/>
      <c r="O525" s="572"/>
      <c r="P525" s="384"/>
    </row>
    <row r="526" spans="1:19" s="396" customFormat="1" ht="30" customHeight="1" x14ac:dyDescent="0.35">
      <c r="A526" s="185" t="s">
        <v>177</v>
      </c>
      <c r="B526" s="563" t="s">
        <v>211</v>
      </c>
      <c r="C526" s="564"/>
      <c r="D526" s="565"/>
      <c r="E526" s="492" t="s">
        <v>178</v>
      </c>
      <c r="F526" s="397" t="s">
        <v>52</v>
      </c>
      <c r="G526" s="1209" t="s">
        <v>54</v>
      </c>
      <c r="H526" s="1503"/>
      <c r="I526" s="1221" t="s">
        <v>179</v>
      </c>
      <c r="J526" s="1222"/>
      <c r="K526" s="1209" t="s">
        <v>180</v>
      </c>
      <c r="L526" s="1210"/>
      <c r="M526" s="50"/>
      <c r="N526" s="50"/>
      <c r="O526" s="572"/>
      <c r="P526" s="384"/>
    </row>
    <row r="527" spans="1:19" s="396" customFormat="1" ht="30" customHeight="1" x14ac:dyDescent="0.35">
      <c r="A527" s="401" t="s">
        <v>181</v>
      </c>
      <c r="B527" s="1202" t="s">
        <v>2936</v>
      </c>
      <c r="C527" s="1203"/>
      <c r="D527" s="1204"/>
      <c r="E527" s="531">
        <v>6000</v>
      </c>
      <c r="F527" s="187">
        <v>699</v>
      </c>
      <c r="G527" s="532"/>
      <c r="H527" s="533"/>
      <c r="I527" s="1217" t="s">
        <v>2860</v>
      </c>
      <c r="J527" s="1218"/>
      <c r="K527" s="187">
        <f>+F527</f>
        <v>699</v>
      </c>
      <c r="L527" s="401" t="s">
        <v>108</v>
      </c>
      <c r="M527" s="50"/>
      <c r="N527" s="96"/>
      <c r="O527" s="572"/>
      <c r="P527" s="384"/>
    </row>
    <row r="528" spans="1:19" s="396" customFormat="1" ht="30" customHeight="1" thickBot="1" x14ac:dyDescent="0.4">
      <c r="A528" s="186"/>
      <c r="B528" s="1264"/>
      <c r="C528" s="1264"/>
      <c r="D528" s="1264"/>
      <c r="E528" s="652"/>
      <c r="F528" s="653"/>
      <c r="G528" s="653"/>
      <c r="H528" s="654"/>
      <c r="I528" s="503"/>
      <c r="J528" s="672" t="s">
        <v>37</v>
      </c>
      <c r="K528" s="190">
        <f>+K527</f>
        <v>699</v>
      </c>
      <c r="L528" s="186" t="s">
        <v>108</v>
      </c>
      <c r="M528" s="97"/>
      <c r="N528" s="50"/>
      <c r="O528" s="572"/>
      <c r="P528" s="384"/>
    </row>
    <row r="529" spans="1:21" s="396" customFormat="1" ht="30" customHeight="1" thickBot="1" x14ac:dyDescent="0.4">
      <c r="A529" s="1199"/>
      <c r="B529" s="1200"/>
      <c r="C529" s="1200"/>
      <c r="D529" s="1200"/>
      <c r="E529" s="1200"/>
      <c r="F529" s="1200"/>
      <c r="G529" s="1200"/>
      <c r="H529" s="1200"/>
      <c r="I529" s="1200"/>
      <c r="J529" s="1200"/>
      <c r="K529" s="1200"/>
      <c r="L529" s="1201"/>
      <c r="M529" s="50"/>
      <c r="N529" s="97"/>
      <c r="O529" s="572"/>
      <c r="P529" s="384"/>
    </row>
    <row r="530" spans="1:21" s="396" customFormat="1" ht="30" customHeight="1" x14ac:dyDescent="0.35">
      <c r="A530" s="388" t="s">
        <v>1</v>
      </c>
      <c r="B530" s="389">
        <v>1446</v>
      </c>
      <c r="C530" s="1345" t="s">
        <v>282</v>
      </c>
      <c r="D530" s="1346"/>
      <c r="E530" s="392" t="s">
        <v>3</v>
      </c>
      <c r="F530" s="393" t="s">
        <v>108</v>
      </c>
      <c r="G530" s="390" t="s">
        <v>38</v>
      </c>
      <c r="H530" s="333">
        <v>15807</v>
      </c>
      <c r="I530" s="392" t="s">
        <v>5</v>
      </c>
      <c r="J530" s="1207" t="s">
        <v>2873</v>
      </c>
      <c r="K530" s="1207"/>
      <c r="L530" s="1208"/>
      <c r="M530" s="50"/>
      <c r="N530" s="50"/>
      <c r="O530" s="572"/>
      <c r="P530" s="384"/>
    </row>
    <row r="531" spans="1:21" s="396" customFormat="1" ht="30" customHeight="1" x14ac:dyDescent="0.35">
      <c r="A531" s="185" t="s">
        <v>177</v>
      </c>
      <c r="B531" s="1272" t="s">
        <v>7</v>
      </c>
      <c r="C531" s="1272"/>
      <c r="D531" s="1272"/>
      <c r="E531" s="492" t="s">
        <v>178</v>
      </c>
      <c r="F531" s="397" t="s">
        <v>52</v>
      </c>
      <c r="G531" s="1225" t="s">
        <v>54</v>
      </c>
      <c r="H531" s="1226"/>
      <c r="I531" s="1221" t="s">
        <v>179</v>
      </c>
      <c r="J531" s="1222"/>
      <c r="K531" s="1209" t="s">
        <v>180</v>
      </c>
      <c r="L531" s="1210"/>
      <c r="M531" s="50"/>
      <c r="N531" s="683"/>
      <c r="O531" s="572"/>
      <c r="P531" s="384"/>
    </row>
    <row r="532" spans="1:21" s="396" customFormat="1" ht="30" customHeight="1" x14ac:dyDescent="0.35">
      <c r="A532" s="401">
        <v>14114</v>
      </c>
      <c r="B532" s="1389" t="s">
        <v>2931</v>
      </c>
      <c r="C532" s="1390"/>
      <c r="D532" s="1391"/>
      <c r="E532" s="531">
        <v>22000</v>
      </c>
      <c r="F532" s="187">
        <v>552</v>
      </c>
      <c r="G532" s="666"/>
      <c r="H532" s="667"/>
      <c r="I532" s="1551">
        <f>+'FY2024 MILCON Inflation Table'!F23</f>
        <v>0.93863689284411045</v>
      </c>
      <c r="J532" s="1552"/>
      <c r="K532" s="187">
        <f>+F532*I532</f>
        <v>518.12756484994895</v>
      </c>
      <c r="L532" s="401" t="s">
        <v>108</v>
      </c>
      <c r="M532" s="50"/>
      <c r="N532" s="50"/>
      <c r="O532" s="572"/>
      <c r="P532" s="384"/>
    </row>
    <row r="533" spans="1:21" s="396" customFormat="1" ht="30" customHeight="1" thickBot="1" x14ac:dyDescent="0.4">
      <c r="A533" s="186"/>
      <c r="B533" s="186"/>
      <c r="C533" s="503"/>
      <c r="D533" s="503"/>
      <c r="E533" s="503"/>
      <c r="F533" s="503"/>
      <c r="G533" s="1628"/>
      <c r="H533" s="1629"/>
      <c r="I533" s="1630"/>
      <c r="J533" s="670" t="s">
        <v>37</v>
      </c>
      <c r="K533" s="209">
        <f>+K532</f>
        <v>518.12756484994895</v>
      </c>
      <c r="L533" s="186" t="s">
        <v>108</v>
      </c>
      <c r="M533" s="50"/>
      <c r="N533" s="97"/>
      <c r="O533" s="572"/>
      <c r="P533" s="384"/>
    </row>
    <row r="534" spans="1:21" s="396" customFormat="1" ht="30" customHeight="1" thickBot="1" x14ac:dyDescent="0.4">
      <c r="A534" s="1199"/>
      <c r="B534" s="1200"/>
      <c r="C534" s="1200"/>
      <c r="D534" s="1200"/>
      <c r="E534" s="1200"/>
      <c r="F534" s="1200"/>
      <c r="G534" s="1200"/>
      <c r="H534" s="1200"/>
      <c r="I534" s="1200"/>
      <c r="J534" s="1200"/>
      <c r="K534" s="1200"/>
      <c r="L534" s="1201"/>
      <c r="M534" s="50"/>
      <c r="N534" s="50"/>
      <c r="O534" s="572"/>
      <c r="P534" s="384"/>
    </row>
    <row r="535" spans="1:21" s="396" customFormat="1" ht="30" customHeight="1" x14ac:dyDescent="0.35">
      <c r="A535" s="442" t="s">
        <v>1</v>
      </c>
      <c r="B535" s="673">
        <v>1451</v>
      </c>
      <c r="C535" s="1691" t="s">
        <v>288</v>
      </c>
      <c r="D535" s="1691"/>
      <c r="E535" s="674" t="s">
        <v>289</v>
      </c>
      <c r="F535" s="675" t="s">
        <v>40</v>
      </c>
      <c r="G535" s="445" t="s">
        <v>38</v>
      </c>
      <c r="H535" s="676">
        <v>1</v>
      </c>
      <c r="I535" s="443" t="s">
        <v>5</v>
      </c>
      <c r="J535" s="1750" t="s">
        <v>2782</v>
      </c>
      <c r="K535" s="1750"/>
      <c r="L535" s="1750"/>
      <c r="M535" s="97"/>
      <c r="N535" s="50"/>
      <c r="P535" s="384"/>
    </row>
    <row r="536" spans="1:21" s="396" customFormat="1" ht="30" customHeight="1" x14ac:dyDescent="0.35">
      <c r="A536" s="185" t="s">
        <v>177</v>
      </c>
      <c r="B536" s="1337" t="s">
        <v>2781</v>
      </c>
      <c r="C536" s="1337"/>
      <c r="D536" s="1337"/>
      <c r="E536" s="185" t="s">
        <v>52</v>
      </c>
      <c r="F536" s="185" t="s">
        <v>53</v>
      </c>
      <c r="G536" s="1527" t="s">
        <v>54</v>
      </c>
      <c r="H536" s="1527"/>
      <c r="I536" s="185" t="s">
        <v>55</v>
      </c>
      <c r="J536" s="185" t="s">
        <v>56</v>
      </c>
      <c r="K536" s="1527" t="s">
        <v>37</v>
      </c>
      <c r="L536" s="1527"/>
      <c r="M536" s="50"/>
      <c r="N536" s="95"/>
      <c r="P536" s="384"/>
      <c r="Q536" s="491"/>
    </row>
    <row r="537" spans="1:21" s="396" customFormat="1" ht="30" customHeight="1" x14ac:dyDescent="0.35">
      <c r="A537" s="461"/>
      <c r="B537" s="1515">
        <v>8281394.1347677642</v>
      </c>
      <c r="C537" s="1515"/>
      <c r="D537" s="1515"/>
      <c r="E537" s="462"/>
      <c r="F537" s="463"/>
      <c r="G537" s="1735" t="s">
        <v>2817</v>
      </c>
      <c r="H537" s="1735"/>
      <c r="I537" s="1735"/>
      <c r="J537" s="677">
        <v>1.1214</v>
      </c>
      <c r="K537" s="465">
        <f>+B537*J537</f>
        <v>9286755.3827285711</v>
      </c>
      <c r="L537" s="463" t="s">
        <v>40</v>
      </c>
      <c r="M537" s="96"/>
      <c r="N537" s="97"/>
      <c r="O537" s="572"/>
      <c r="P537" s="384"/>
    </row>
    <row r="538" spans="1:21" s="396" customFormat="1" ht="30" customHeight="1" thickBot="1" x14ac:dyDescent="0.4">
      <c r="A538" s="461"/>
      <c r="B538" s="1515"/>
      <c r="C538" s="1515"/>
      <c r="D538" s="1515"/>
      <c r="E538" s="462"/>
      <c r="F538" s="463"/>
      <c r="G538" s="1359" t="s">
        <v>3000</v>
      </c>
      <c r="H538" s="1360"/>
      <c r="I538" s="1361"/>
      <c r="J538" s="677">
        <v>1.0438745311870361</v>
      </c>
      <c r="K538" s="465">
        <f>+K537*J538</f>
        <v>9694207.4213944711</v>
      </c>
      <c r="L538" s="463" t="s">
        <v>40</v>
      </c>
      <c r="M538" s="96"/>
      <c r="N538" s="50"/>
      <c r="O538" s="572"/>
      <c r="P538" s="384"/>
    </row>
    <row r="539" spans="1:21" s="396" customFormat="1" ht="30" customHeight="1" thickBot="1" x14ac:dyDescent="0.4">
      <c r="A539" s="1568"/>
      <c r="B539" s="1569"/>
      <c r="C539" s="1569"/>
      <c r="D539" s="1569"/>
      <c r="E539" s="1569"/>
      <c r="F539" s="1569"/>
      <c r="G539" s="1569"/>
      <c r="H539" s="1569"/>
      <c r="I539" s="1569"/>
      <c r="J539" s="1569"/>
      <c r="K539" s="1569"/>
      <c r="L539" s="1570"/>
      <c r="M539" s="50"/>
      <c r="O539" s="572"/>
      <c r="P539" s="384"/>
    </row>
    <row r="540" spans="1:21" s="396" customFormat="1" ht="30" customHeight="1" x14ac:dyDescent="0.35">
      <c r="A540" s="678" t="s">
        <v>1</v>
      </c>
      <c r="B540" s="679">
        <v>1452</v>
      </c>
      <c r="C540" s="1277" t="s">
        <v>290</v>
      </c>
      <c r="D540" s="1277"/>
      <c r="E540" s="680" t="s">
        <v>289</v>
      </c>
      <c r="F540" s="681" t="s">
        <v>108</v>
      </c>
      <c r="G540" s="468" t="s">
        <v>38</v>
      </c>
      <c r="H540" s="682">
        <v>3812</v>
      </c>
      <c r="I540" s="392" t="s">
        <v>5</v>
      </c>
      <c r="J540" s="1278" t="s">
        <v>2783</v>
      </c>
      <c r="K540" s="1278"/>
      <c r="L540" s="1279"/>
      <c r="M540" s="97"/>
      <c r="N540" s="50"/>
      <c r="O540" s="572"/>
      <c r="P540" s="384"/>
    </row>
    <row r="541" spans="1:21" ht="30" customHeight="1" x14ac:dyDescent="0.35">
      <c r="A541" s="185" t="s">
        <v>177</v>
      </c>
      <c r="B541" s="1337" t="s">
        <v>2781</v>
      </c>
      <c r="C541" s="1337"/>
      <c r="D541" s="1337"/>
      <c r="E541" s="185" t="s">
        <v>52</v>
      </c>
      <c r="F541" s="185" t="s">
        <v>53</v>
      </c>
      <c r="G541" s="1219" t="s">
        <v>54</v>
      </c>
      <c r="H541" s="1220"/>
      <c r="I541" s="185" t="s">
        <v>55</v>
      </c>
      <c r="J541" s="185" t="s">
        <v>56</v>
      </c>
      <c r="K541" s="1209" t="s">
        <v>37</v>
      </c>
      <c r="L541" s="1210"/>
      <c r="M541" s="50"/>
      <c r="N541" s="97"/>
      <c r="O541" s="11"/>
    </row>
    <row r="542" spans="1:21" ht="30" customHeight="1" x14ac:dyDescent="0.35">
      <c r="A542" s="407">
        <v>149514</v>
      </c>
      <c r="B542" s="1803">
        <v>668.80449926134179</v>
      </c>
      <c r="C542" s="1803"/>
      <c r="D542" s="1803"/>
      <c r="E542" s="469"/>
      <c r="F542" s="188"/>
      <c r="G542" s="1735" t="s">
        <v>2817</v>
      </c>
      <c r="H542" s="1735"/>
      <c r="I542" s="1735"/>
      <c r="J542" s="677">
        <v>1.1214</v>
      </c>
      <c r="K542" s="471">
        <f>+B542*J542</f>
        <v>749.99736547166867</v>
      </c>
      <c r="L542" s="188" t="s">
        <v>108</v>
      </c>
      <c r="M542" s="50"/>
      <c r="N542" s="50"/>
    </row>
    <row r="543" spans="1:21" ht="30" customHeight="1" thickBot="1" x14ac:dyDescent="0.4">
      <c r="A543" s="407"/>
      <c r="B543" s="1537"/>
      <c r="C543" s="1538"/>
      <c r="D543" s="1539"/>
      <c r="E543" s="469"/>
      <c r="F543" s="188"/>
      <c r="G543" s="1359" t="s">
        <v>3000</v>
      </c>
      <c r="H543" s="1360"/>
      <c r="I543" s="1361"/>
      <c r="J543" s="677">
        <v>1.0438745311870361</v>
      </c>
      <c r="K543" s="471">
        <f>+K542*J543</f>
        <v>782.90314827325028</v>
      </c>
      <c r="L543" s="188" t="s">
        <v>108</v>
      </c>
      <c r="M543" s="50"/>
      <c r="N543" s="50"/>
      <c r="T543" s="10"/>
      <c r="U543" s="10"/>
    </row>
    <row r="544" spans="1:21" ht="30" customHeight="1" thickBot="1" x14ac:dyDescent="0.4">
      <c r="A544" s="1568"/>
      <c r="B544" s="1569"/>
      <c r="C544" s="1569"/>
      <c r="D544" s="1569"/>
      <c r="E544" s="1569"/>
      <c r="F544" s="1569"/>
      <c r="G544" s="1569"/>
      <c r="H544" s="1569"/>
      <c r="I544" s="1569"/>
      <c r="J544" s="1569"/>
      <c r="K544" s="1569"/>
      <c r="L544" s="1570"/>
      <c r="M544" s="50"/>
      <c r="N544" s="50"/>
      <c r="T544" s="53"/>
      <c r="U544" s="53"/>
    </row>
    <row r="545" spans="1:21" ht="30" customHeight="1" x14ac:dyDescent="0.35">
      <c r="A545" s="678" t="s">
        <v>1</v>
      </c>
      <c r="B545" s="679">
        <v>1453</v>
      </c>
      <c r="C545" s="1277" t="s">
        <v>291</v>
      </c>
      <c r="D545" s="1277"/>
      <c r="E545" s="680" t="s">
        <v>289</v>
      </c>
      <c r="F545" s="681" t="s">
        <v>40</v>
      </c>
      <c r="G545" s="468" t="s">
        <v>38</v>
      </c>
      <c r="H545" s="682">
        <v>1</v>
      </c>
      <c r="I545" s="392" t="s">
        <v>5</v>
      </c>
      <c r="J545" s="1278" t="s">
        <v>2784</v>
      </c>
      <c r="K545" s="1278"/>
      <c r="L545" s="1279"/>
      <c r="M545" s="97"/>
      <c r="N545" s="96"/>
      <c r="O545" s="5"/>
      <c r="P545" s="9"/>
      <c r="Q545" s="34"/>
      <c r="R545" s="5"/>
      <c r="S545" s="35"/>
    </row>
    <row r="546" spans="1:21" ht="30" customHeight="1" x14ac:dyDescent="0.35">
      <c r="A546" s="185" t="s">
        <v>177</v>
      </c>
      <c r="B546" s="1337" t="s">
        <v>2781</v>
      </c>
      <c r="C546" s="1337"/>
      <c r="D546" s="1337"/>
      <c r="E546" s="185" t="s">
        <v>52</v>
      </c>
      <c r="F546" s="185" t="s">
        <v>53</v>
      </c>
      <c r="G546" s="1219" t="s">
        <v>54</v>
      </c>
      <c r="H546" s="1220"/>
      <c r="I546" s="185" t="s">
        <v>55</v>
      </c>
      <c r="J546" s="185" t="s">
        <v>56</v>
      </c>
      <c r="K546" s="1209" t="s">
        <v>37</v>
      </c>
      <c r="L546" s="1210"/>
      <c r="M546" s="50"/>
      <c r="N546" s="50"/>
      <c r="T546" s="10"/>
      <c r="U546" s="10"/>
    </row>
    <row r="547" spans="1:21" ht="30" customHeight="1" x14ac:dyDescent="0.35">
      <c r="A547" s="407">
        <v>149711</v>
      </c>
      <c r="B547" s="1803">
        <v>150412.567819786</v>
      </c>
      <c r="C547" s="1803"/>
      <c r="D547" s="1803"/>
      <c r="E547" s="469"/>
      <c r="F547" s="188"/>
      <c r="G547" s="1735" t="s">
        <v>2817</v>
      </c>
      <c r="H547" s="1735"/>
      <c r="I547" s="1735"/>
      <c r="J547" s="677">
        <v>1.1214</v>
      </c>
      <c r="K547" s="471">
        <f>+B547*J547</f>
        <v>168672.65355310802</v>
      </c>
      <c r="L547" s="188" t="s">
        <v>40</v>
      </c>
      <c r="M547" s="50"/>
      <c r="N547" s="50"/>
    </row>
    <row r="548" spans="1:21" ht="30" customHeight="1" thickBot="1" x14ac:dyDescent="0.4">
      <c r="A548" s="407"/>
      <c r="B548" s="1537"/>
      <c r="C548" s="1538"/>
      <c r="D548" s="1539"/>
      <c r="E548" s="469"/>
      <c r="F548" s="188"/>
      <c r="G548" s="1359" t="s">
        <v>3000</v>
      </c>
      <c r="H548" s="1360"/>
      <c r="I548" s="1361"/>
      <c r="J548" s="677">
        <v>1.0438745311870361</v>
      </c>
      <c r="K548" s="471">
        <f>+K547*J548</f>
        <v>176073.087151824</v>
      </c>
      <c r="L548" s="188" t="s">
        <v>40</v>
      </c>
      <c r="M548" s="50"/>
      <c r="N548" s="96"/>
      <c r="T548" s="10"/>
      <c r="U548" s="10"/>
    </row>
    <row r="549" spans="1:21" ht="30" customHeight="1" thickBot="1" x14ac:dyDescent="0.4">
      <c r="A549" s="1568"/>
      <c r="B549" s="1569"/>
      <c r="C549" s="1569"/>
      <c r="D549" s="1569"/>
      <c r="E549" s="1569"/>
      <c r="F549" s="1569"/>
      <c r="G549" s="1569"/>
      <c r="H549" s="1569"/>
      <c r="I549" s="1569"/>
      <c r="J549" s="1569"/>
      <c r="K549" s="1569"/>
      <c r="L549" s="1570"/>
      <c r="M549" s="50"/>
      <c r="N549" s="50"/>
      <c r="T549" s="53"/>
      <c r="U549" s="53"/>
    </row>
    <row r="550" spans="1:21" ht="30" customHeight="1" x14ac:dyDescent="0.35">
      <c r="A550" s="684" t="s">
        <v>1</v>
      </c>
      <c r="B550" s="679">
        <v>1454</v>
      </c>
      <c r="C550" s="1277" t="s">
        <v>292</v>
      </c>
      <c r="D550" s="1277"/>
      <c r="E550" s="680" t="s">
        <v>289</v>
      </c>
      <c r="F550" s="681" t="s">
        <v>28</v>
      </c>
      <c r="G550" s="468" t="s">
        <v>38</v>
      </c>
      <c r="H550" s="685">
        <v>259</v>
      </c>
      <c r="I550" s="392" t="s">
        <v>5</v>
      </c>
      <c r="J550" s="1725" t="s">
        <v>2784</v>
      </c>
      <c r="K550" s="1725"/>
      <c r="L550" s="1726"/>
      <c r="M550" s="97"/>
      <c r="N550" s="130"/>
      <c r="O550" s="54"/>
      <c r="T550" s="10"/>
      <c r="U550" s="10"/>
    </row>
    <row r="551" spans="1:21" ht="30" customHeight="1" x14ac:dyDescent="0.35">
      <c r="A551" s="185" t="s">
        <v>177</v>
      </c>
      <c r="B551" s="1337" t="s">
        <v>2781</v>
      </c>
      <c r="C551" s="1337"/>
      <c r="D551" s="1337"/>
      <c r="E551" s="185" t="s">
        <v>52</v>
      </c>
      <c r="F551" s="185" t="s">
        <v>53</v>
      </c>
      <c r="G551" s="1219" t="s">
        <v>54</v>
      </c>
      <c r="H551" s="1220"/>
      <c r="I551" s="185" t="s">
        <v>55</v>
      </c>
      <c r="J551" s="185" t="s">
        <v>56</v>
      </c>
      <c r="K551" s="1209" t="s">
        <v>37</v>
      </c>
      <c r="L551" s="1210"/>
      <c r="M551" s="50"/>
      <c r="N551" s="96"/>
      <c r="O551" s="539"/>
      <c r="T551" s="10"/>
      <c r="U551" s="10"/>
    </row>
    <row r="552" spans="1:21" ht="30" customHeight="1" x14ac:dyDescent="0.35">
      <c r="A552" s="407">
        <v>149811</v>
      </c>
      <c r="B552" s="1804">
        <v>1249.9023121496145</v>
      </c>
      <c r="C552" s="1804"/>
      <c r="D552" s="1804"/>
      <c r="E552" s="469"/>
      <c r="F552" s="188"/>
      <c r="G552" s="1735" t="s">
        <v>2817</v>
      </c>
      <c r="H552" s="1735"/>
      <c r="I552" s="1735"/>
      <c r="J552" s="677">
        <v>1.1214</v>
      </c>
      <c r="K552" s="471">
        <f>+B552*J552</f>
        <v>1401.6404528445778</v>
      </c>
      <c r="L552" s="188" t="s">
        <v>28</v>
      </c>
      <c r="M552" s="96"/>
      <c r="N552" s="50"/>
      <c r="O552" s="539"/>
    </row>
    <row r="553" spans="1:21" ht="30" customHeight="1" thickBot="1" x14ac:dyDescent="0.75">
      <c r="A553" s="407"/>
      <c r="B553" s="1692"/>
      <c r="C553" s="1693"/>
      <c r="D553" s="1694"/>
      <c r="E553" s="469"/>
      <c r="F553" s="188"/>
      <c r="G553" s="1359" t="s">
        <v>3000</v>
      </c>
      <c r="H553" s="1360"/>
      <c r="I553" s="1361"/>
      <c r="J553" s="677">
        <v>1.0438745311870361</v>
      </c>
      <c r="K553" s="471">
        <f>+K552*J553</f>
        <v>1463.1367706059186</v>
      </c>
      <c r="L553" s="188" t="s">
        <v>28</v>
      </c>
      <c r="M553" s="96"/>
      <c r="N553" s="50"/>
      <c r="O553" s="539"/>
      <c r="P553" s="691"/>
      <c r="T553" s="10"/>
      <c r="U553" s="10"/>
    </row>
    <row r="554" spans="1:21" ht="30" customHeight="1" thickBot="1" x14ac:dyDescent="0.4">
      <c r="A554" s="1568"/>
      <c r="B554" s="1569"/>
      <c r="C554" s="1569"/>
      <c r="D554" s="1569"/>
      <c r="E554" s="1569"/>
      <c r="F554" s="1569"/>
      <c r="G554" s="1569"/>
      <c r="H554" s="1569"/>
      <c r="I554" s="1569"/>
      <c r="J554" s="1569"/>
      <c r="K554" s="1569"/>
      <c r="L554" s="1570"/>
      <c r="M554" s="50"/>
      <c r="N554" s="50"/>
      <c r="T554" s="53"/>
      <c r="U554" s="53"/>
    </row>
    <row r="555" spans="1:21" ht="30" customHeight="1" x14ac:dyDescent="0.35">
      <c r="A555" s="378" t="s">
        <v>1</v>
      </c>
      <c r="B555" s="686">
        <v>1456</v>
      </c>
      <c r="C555" s="1689" t="s">
        <v>293</v>
      </c>
      <c r="D555" s="1689"/>
      <c r="E555" s="687" t="s">
        <v>289</v>
      </c>
      <c r="F555" s="688" t="s">
        <v>40</v>
      </c>
      <c r="G555" s="689" t="s">
        <v>38</v>
      </c>
      <c r="H555" s="685">
        <v>1</v>
      </c>
      <c r="I555" s="392" t="s">
        <v>5</v>
      </c>
      <c r="J555" s="1278" t="s">
        <v>2783</v>
      </c>
      <c r="K555" s="1278"/>
      <c r="L555" s="1279"/>
      <c r="M555" s="96"/>
      <c r="N555" s="50"/>
      <c r="T555" s="53"/>
      <c r="U555" s="53"/>
    </row>
    <row r="556" spans="1:21" ht="30" customHeight="1" x14ac:dyDescent="0.35">
      <c r="A556" s="185" t="s">
        <v>177</v>
      </c>
      <c r="B556" s="1337" t="s">
        <v>2781</v>
      </c>
      <c r="C556" s="1337"/>
      <c r="D556" s="1337"/>
      <c r="E556" s="185" t="s">
        <v>52</v>
      </c>
      <c r="F556" s="185" t="s">
        <v>53</v>
      </c>
      <c r="G556" s="1219" t="s">
        <v>54</v>
      </c>
      <c r="H556" s="1220"/>
      <c r="I556" s="185" t="s">
        <v>55</v>
      </c>
      <c r="J556" s="185" t="s">
        <v>56</v>
      </c>
      <c r="K556" s="1209" t="s">
        <v>37</v>
      </c>
      <c r="L556" s="1210"/>
      <c r="M556" s="96"/>
      <c r="N556" s="50"/>
      <c r="O556" s="5"/>
      <c r="P556" s="9"/>
      <c r="Q556" s="34"/>
      <c r="R556" s="5"/>
      <c r="S556" s="35"/>
    </row>
    <row r="557" spans="1:21" ht="30" customHeight="1" x14ac:dyDescent="0.35">
      <c r="A557" s="407" t="s">
        <v>2785</v>
      </c>
      <c r="B557" s="1263">
        <v>1095407.2210828611</v>
      </c>
      <c r="C557" s="1263"/>
      <c r="D557" s="1263"/>
      <c r="E557" s="469"/>
      <c r="F557" s="188"/>
      <c r="G557" s="1735" t="s">
        <v>2817</v>
      </c>
      <c r="H557" s="1735"/>
      <c r="I557" s="1735"/>
      <c r="J557" s="677">
        <v>1.1214</v>
      </c>
      <c r="K557" s="471">
        <f>+B557*J557</f>
        <v>1228389.6577223204</v>
      </c>
      <c r="L557" s="188" t="s">
        <v>40</v>
      </c>
      <c r="M557" s="50"/>
      <c r="N557" s="50"/>
      <c r="O557" s="5"/>
      <c r="P557" s="9"/>
      <c r="Q557" s="34"/>
      <c r="R557" s="5"/>
      <c r="S557" s="35"/>
    </row>
    <row r="558" spans="1:21" ht="30" customHeight="1" thickBot="1" x14ac:dyDescent="0.4">
      <c r="A558" s="407"/>
      <c r="B558" s="1263"/>
      <c r="C558" s="1263"/>
      <c r="D558" s="1263"/>
      <c r="E558" s="469"/>
      <c r="F558" s="188"/>
      <c r="G558" s="1359" t="s">
        <v>3000</v>
      </c>
      <c r="H558" s="1360"/>
      <c r="I558" s="1361"/>
      <c r="J558" s="677">
        <v>1.0438745311870361</v>
      </c>
      <c r="K558" s="471">
        <f>+K557*J558</f>
        <v>1282284.6780698909</v>
      </c>
      <c r="L558" s="188" t="s">
        <v>40</v>
      </c>
      <c r="M558" s="50"/>
      <c r="N558" s="50"/>
      <c r="O558" s="5"/>
      <c r="P558" s="9"/>
      <c r="Q558" s="34"/>
      <c r="R558" s="5"/>
      <c r="S558" s="35"/>
    </row>
    <row r="559" spans="1:21" ht="30" customHeight="1" thickBot="1" x14ac:dyDescent="0.4">
      <c r="A559" s="1727"/>
      <c r="B559" s="1728"/>
      <c r="C559" s="1728"/>
      <c r="D559" s="1728"/>
      <c r="E559" s="1728"/>
      <c r="F559" s="1728"/>
      <c r="G559" s="1728"/>
      <c r="H559" s="1728"/>
      <c r="I559" s="1728"/>
      <c r="J559" s="1728"/>
      <c r="K559" s="1728"/>
      <c r="L559" s="1729"/>
      <c r="M559" s="97"/>
      <c r="N559" s="50"/>
      <c r="O559" s="5"/>
      <c r="P559" s="9"/>
      <c r="Q559" s="34"/>
      <c r="R559" s="5"/>
      <c r="S559" s="35"/>
    </row>
    <row r="560" spans="1:21" ht="30" customHeight="1" x14ac:dyDescent="0.35">
      <c r="A560" s="378" t="s">
        <v>216</v>
      </c>
      <c r="B560" s="686">
        <v>1457</v>
      </c>
      <c r="C560" s="1689" t="s">
        <v>294</v>
      </c>
      <c r="D560" s="1689"/>
      <c r="E560" s="687" t="s">
        <v>289</v>
      </c>
      <c r="F560" s="688" t="s">
        <v>108</v>
      </c>
      <c r="G560" s="689" t="s">
        <v>38</v>
      </c>
      <c r="H560" s="685">
        <v>4857</v>
      </c>
      <c r="I560" s="392" t="s">
        <v>5</v>
      </c>
      <c r="J560" s="1338" t="s">
        <v>2786</v>
      </c>
      <c r="K560" s="1339"/>
      <c r="L560" s="1340"/>
      <c r="M560" s="97"/>
      <c r="N560" s="50"/>
      <c r="O560" s="5"/>
      <c r="P560" s="9"/>
      <c r="Q560" s="34"/>
      <c r="R560" s="5"/>
      <c r="S560" s="35"/>
    </row>
    <row r="561" spans="1:19" ht="30" customHeight="1" x14ac:dyDescent="0.35">
      <c r="A561" s="185"/>
      <c r="B561" s="1337" t="s">
        <v>2787</v>
      </c>
      <c r="C561" s="1337"/>
      <c r="D561" s="1337"/>
      <c r="E561" s="185" t="s">
        <v>52</v>
      </c>
      <c r="F561" s="185" t="s">
        <v>53</v>
      </c>
      <c r="G561" s="1219" t="s">
        <v>54</v>
      </c>
      <c r="H561" s="1220"/>
      <c r="I561" s="185" t="s">
        <v>55</v>
      </c>
      <c r="J561" s="185" t="s">
        <v>56</v>
      </c>
      <c r="K561" s="1209" t="s">
        <v>37</v>
      </c>
      <c r="L561" s="1210"/>
      <c r="M561" s="50"/>
      <c r="N561" s="50"/>
      <c r="O561" s="5"/>
      <c r="P561" s="9"/>
      <c r="Q561" s="34"/>
      <c r="R561" s="5"/>
      <c r="S561" s="35"/>
    </row>
    <row r="562" spans="1:19" ht="30" customHeight="1" thickBot="1" x14ac:dyDescent="0.4">
      <c r="A562" s="407"/>
      <c r="B562" s="1263">
        <f>+K543</f>
        <v>782.90314827325028</v>
      </c>
      <c r="C562" s="1263"/>
      <c r="D562" s="1263"/>
      <c r="E562" s="469"/>
      <c r="F562" s="188"/>
      <c r="G562" s="1332"/>
      <c r="H562" s="1333"/>
      <c r="I562" s="188"/>
      <c r="J562" s="470">
        <v>1</v>
      </c>
      <c r="K562" s="471">
        <f>B562*J562</f>
        <v>782.90314827325028</v>
      </c>
      <c r="L562" s="188" t="s">
        <v>108</v>
      </c>
      <c r="M562" s="50"/>
      <c r="N562" s="50"/>
      <c r="O562" s="5"/>
      <c r="P562" s="9"/>
      <c r="Q562" s="34"/>
      <c r="R562" s="5"/>
      <c r="S562" s="35"/>
    </row>
    <row r="563" spans="1:19" ht="30" customHeight="1" thickBot="1" x14ac:dyDescent="0.4">
      <c r="A563" s="1199"/>
      <c r="B563" s="1200"/>
      <c r="C563" s="1200"/>
      <c r="D563" s="1200"/>
      <c r="E563" s="1200"/>
      <c r="F563" s="1200"/>
      <c r="G563" s="1200"/>
      <c r="H563" s="1200"/>
      <c r="I563" s="1200"/>
      <c r="J563" s="1200"/>
      <c r="K563" s="1200"/>
      <c r="L563" s="1201"/>
      <c r="M563" s="97"/>
      <c r="N563" s="50"/>
      <c r="O563" s="5"/>
      <c r="P563" s="9"/>
      <c r="Q563" s="34"/>
      <c r="R563" s="5"/>
      <c r="S563" s="35"/>
    </row>
    <row r="564" spans="1:19" ht="30" customHeight="1" x14ac:dyDescent="0.35">
      <c r="A564" s="388" t="s">
        <v>1</v>
      </c>
      <c r="B564" s="389">
        <v>1458</v>
      </c>
      <c r="C564" s="1290" t="s">
        <v>295</v>
      </c>
      <c r="D564" s="1291"/>
      <c r="E564" s="392" t="s">
        <v>3</v>
      </c>
      <c r="F564" s="393" t="s">
        <v>40</v>
      </c>
      <c r="G564" s="529" t="s">
        <v>2</v>
      </c>
      <c r="H564" s="135">
        <v>1</v>
      </c>
      <c r="I564" s="392" t="s">
        <v>5</v>
      </c>
      <c r="J564" s="1207" t="s">
        <v>232</v>
      </c>
      <c r="K564" s="1207"/>
      <c r="L564" s="1208"/>
      <c r="M564" s="96"/>
      <c r="N564" s="50"/>
      <c r="P564" s="9"/>
    </row>
    <row r="565" spans="1:19" ht="30" customHeight="1" x14ac:dyDescent="0.35">
      <c r="A565" s="185" t="s">
        <v>177</v>
      </c>
      <c r="B565" s="1272" t="s">
        <v>7</v>
      </c>
      <c r="C565" s="1272"/>
      <c r="D565" s="1272"/>
      <c r="E565" s="492" t="s">
        <v>178</v>
      </c>
      <c r="F565" s="397" t="s">
        <v>52</v>
      </c>
      <c r="G565" s="185"/>
      <c r="H565" s="185"/>
      <c r="I565" s="1221" t="s">
        <v>179</v>
      </c>
      <c r="J565" s="1222"/>
      <c r="K565" s="1209" t="s">
        <v>180</v>
      </c>
      <c r="L565" s="1210"/>
      <c r="M565" s="50"/>
      <c r="N565" s="50"/>
      <c r="P565" s="9"/>
    </row>
    <row r="566" spans="1:19" ht="30" customHeight="1" x14ac:dyDescent="0.35">
      <c r="A566" s="186">
        <v>88040</v>
      </c>
      <c r="B566" s="1267" t="s">
        <v>296</v>
      </c>
      <c r="C566" s="1267"/>
      <c r="D566" s="1267"/>
      <c r="E566" s="690">
        <v>1</v>
      </c>
      <c r="F566" s="201">
        <v>152190</v>
      </c>
      <c r="G566" s="650"/>
      <c r="H566" s="651"/>
      <c r="I566" s="1332">
        <f>+'FY2024 MILCON Inflation Table'!F21</f>
        <v>0.97847358121330719</v>
      </c>
      <c r="J566" s="1333"/>
      <c r="K566" s="199">
        <f t="shared" ref="K566:K572" si="8">+F566*I566</f>
        <v>148913.89432485323</v>
      </c>
      <c r="L566" s="186" t="s">
        <v>40</v>
      </c>
      <c r="M566" s="95"/>
      <c r="N566" s="96"/>
      <c r="O566" s="384"/>
      <c r="P566" s="9"/>
      <c r="Q566" s="34"/>
      <c r="R566" s="5"/>
      <c r="S566" s="35"/>
    </row>
    <row r="567" spans="1:19" ht="30" customHeight="1" x14ac:dyDescent="0.35">
      <c r="A567" s="186">
        <v>88040</v>
      </c>
      <c r="B567" s="1267" t="s">
        <v>297</v>
      </c>
      <c r="C567" s="1267"/>
      <c r="D567" s="1267"/>
      <c r="E567" s="690">
        <v>1</v>
      </c>
      <c r="F567" s="201">
        <v>278070</v>
      </c>
      <c r="G567" s="650"/>
      <c r="H567" s="651"/>
      <c r="I567" s="1332">
        <f>+I566</f>
        <v>0.97847358121330719</v>
      </c>
      <c r="J567" s="1333"/>
      <c r="K567" s="199">
        <f t="shared" si="8"/>
        <v>272084.14872798434</v>
      </c>
      <c r="L567" s="186" t="s">
        <v>40</v>
      </c>
      <c r="M567" s="97"/>
      <c r="N567" s="96"/>
      <c r="O567" s="384"/>
      <c r="P567" s="9"/>
      <c r="Q567" s="34"/>
      <c r="R567" s="5"/>
      <c r="S567" s="35"/>
    </row>
    <row r="568" spans="1:19" ht="30" customHeight="1" x14ac:dyDescent="0.35">
      <c r="A568" s="186">
        <v>88040</v>
      </c>
      <c r="B568" s="1690" t="s">
        <v>298</v>
      </c>
      <c r="C568" s="1690"/>
      <c r="D568" s="1690"/>
      <c r="E568" s="690">
        <v>1</v>
      </c>
      <c r="F568" s="201">
        <v>54790</v>
      </c>
      <c r="G568" s="650"/>
      <c r="H568" s="651"/>
      <c r="I568" s="1332">
        <f>+I566</f>
        <v>0.97847358121330719</v>
      </c>
      <c r="J568" s="1333"/>
      <c r="K568" s="199">
        <f t="shared" si="8"/>
        <v>53610.567514677103</v>
      </c>
      <c r="L568" s="186" t="s">
        <v>40</v>
      </c>
      <c r="M568" s="50"/>
      <c r="N568" s="96"/>
      <c r="O568" s="384"/>
      <c r="P568" s="9"/>
      <c r="Q568" s="34"/>
      <c r="R568" s="5"/>
      <c r="S568" s="35"/>
    </row>
    <row r="569" spans="1:19" ht="30" customHeight="1" x14ac:dyDescent="0.35">
      <c r="A569" s="186">
        <v>88040</v>
      </c>
      <c r="B569" s="1267" t="s">
        <v>299</v>
      </c>
      <c r="C569" s="1267"/>
      <c r="D569" s="1267"/>
      <c r="E569" s="690">
        <v>1</v>
      </c>
      <c r="F569" s="201">
        <v>62640</v>
      </c>
      <c r="G569" s="650"/>
      <c r="H569" s="651"/>
      <c r="I569" s="1332">
        <f>+I568</f>
        <v>0.97847358121330719</v>
      </c>
      <c r="J569" s="1333"/>
      <c r="K569" s="199">
        <f t="shared" si="8"/>
        <v>61291.585127201564</v>
      </c>
      <c r="L569" s="186" t="s">
        <v>40</v>
      </c>
      <c r="M569" s="50"/>
      <c r="N569" s="50"/>
      <c r="O569" s="384"/>
      <c r="P569" s="9"/>
      <c r="Q569" s="34"/>
      <c r="R569" s="5"/>
      <c r="S569" s="35"/>
    </row>
    <row r="570" spans="1:19" ht="30" customHeight="1" x14ac:dyDescent="0.35">
      <c r="A570" s="186">
        <v>88040</v>
      </c>
      <c r="B570" s="1267" t="s">
        <v>300</v>
      </c>
      <c r="C570" s="1267"/>
      <c r="D570" s="1267"/>
      <c r="E570" s="690">
        <v>1</v>
      </c>
      <c r="F570" s="201">
        <v>66730</v>
      </c>
      <c r="G570" s="650"/>
      <c r="H570" s="651"/>
      <c r="I570" s="1332">
        <f>+I569</f>
        <v>0.97847358121330719</v>
      </c>
      <c r="J570" s="1333"/>
      <c r="K570" s="199">
        <f t="shared" si="8"/>
        <v>65293.542074363992</v>
      </c>
      <c r="L570" s="186" t="s">
        <v>40</v>
      </c>
      <c r="M570" s="97"/>
      <c r="N570" s="50"/>
      <c r="P570" s="9"/>
      <c r="Q570" s="34"/>
      <c r="R570" s="5"/>
      <c r="S570" s="35"/>
    </row>
    <row r="571" spans="1:19" ht="30" customHeight="1" x14ac:dyDescent="0.35">
      <c r="A571" s="186">
        <v>88040</v>
      </c>
      <c r="B571" s="1267" t="s">
        <v>301</v>
      </c>
      <c r="C571" s="1267"/>
      <c r="D571" s="1267"/>
      <c r="E571" s="690">
        <v>1</v>
      </c>
      <c r="F571" s="201">
        <v>74330</v>
      </c>
      <c r="G571" s="650"/>
      <c r="H571" s="651"/>
      <c r="I571" s="1332">
        <f>+I570</f>
        <v>0.97847358121330719</v>
      </c>
      <c r="J571" s="1333"/>
      <c r="K571" s="199">
        <f t="shared" si="8"/>
        <v>72729.941291585128</v>
      </c>
      <c r="L571" s="186" t="s">
        <v>40</v>
      </c>
      <c r="M571" s="50"/>
      <c r="N571" s="50"/>
      <c r="O571" s="466"/>
      <c r="P571" s="9"/>
    </row>
    <row r="572" spans="1:19" ht="30" customHeight="1" x14ac:dyDescent="0.35">
      <c r="A572" s="186">
        <v>88040</v>
      </c>
      <c r="B572" s="1264" t="s">
        <v>302</v>
      </c>
      <c r="C572" s="1264"/>
      <c r="D572" s="1264"/>
      <c r="E572" s="690">
        <v>1</v>
      </c>
      <c r="F572" s="201">
        <v>58430</v>
      </c>
      <c r="G572" s="650"/>
      <c r="H572" s="651"/>
      <c r="I572" s="1332">
        <f>+I571</f>
        <v>0.97847358121330719</v>
      </c>
      <c r="J572" s="1333"/>
      <c r="K572" s="199">
        <f t="shared" si="8"/>
        <v>57172.211350293539</v>
      </c>
      <c r="L572" s="186" t="s">
        <v>40</v>
      </c>
      <c r="M572" s="50"/>
      <c r="N572" s="50"/>
      <c r="P572" s="9"/>
    </row>
    <row r="573" spans="1:19" ht="30" customHeight="1" thickBot="1" x14ac:dyDescent="0.4">
      <c r="A573" s="186"/>
      <c r="B573" s="1264"/>
      <c r="C573" s="1264"/>
      <c r="D573" s="1264"/>
      <c r="E573" s="652"/>
      <c r="F573" s="653"/>
      <c r="G573" s="653"/>
      <c r="H573" s="654" t="s">
        <v>192</v>
      </c>
      <c r="I573" s="503"/>
      <c r="J573" s="672" t="s">
        <v>37</v>
      </c>
      <c r="K573" s="199">
        <f>AVERAGE(K566:K572)</f>
        <v>104442.27005870843</v>
      </c>
      <c r="L573" s="186" t="s">
        <v>40</v>
      </c>
      <c r="M573" s="50"/>
      <c r="N573" s="50"/>
      <c r="P573" s="9"/>
    </row>
    <row r="574" spans="1:19" ht="30" customHeight="1" thickBot="1" x14ac:dyDescent="0.4">
      <c r="A574" s="1199"/>
      <c r="B574" s="1200"/>
      <c r="C574" s="1200"/>
      <c r="D574" s="1200"/>
      <c r="E574" s="1200"/>
      <c r="F574" s="1200"/>
      <c r="G574" s="1200"/>
      <c r="H574" s="1200"/>
      <c r="I574" s="1200"/>
      <c r="J574" s="1200"/>
      <c r="K574" s="1200"/>
      <c r="L574" s="1201"/>
      <c r="M574" s="96"/>
      <c r="N574" s="50"/>
      <c r="O574" s="5"/>
      <c r="P574" s="9"/>
      <c r="Q574" s="34"/>
      <c r="R574" s="5"/>
      <c r="S574" s="35"/>
    </row>
    <row r="575" spans="1:19" ht="30" customHeight="1" x14ac:dyDescent="0.35">
      <c r="A575" s="388" t="s">
        <v>1</v>
      </c>
      <c r="B575" s="389">
        <v>1459</v>
      </c>
      <c r="C575" s="1290" t="s">
        <v>303</v>
      </c>
      <c r="D575" s="1291"/>
      <c r="E575" s="392" t="s">
        <v>3</v>
      </c>
      <c r="F575" s="393" t="s">
        <v>108</v>
      </c>
      <c r="G575" s="390" t="s">
        <v>38</v>
      </c>
      <c r="H575" s="132">
        <v>2191.3600932941799</v>
      </c>
      <c r="I575" s="392" t="s">
        <v>5</v>
      </c>
      <c r="J575" s="1207" t="s">
        <v>2538</v>
      </c>
      <c r="K575" s="1207"/>
      <c r="L575" s="1208"/>
      <c r="M575" s="96"/>
      <c r="N575" s="50"/>
      <c r="O575" s="5"/>
      <c r="P575" s="9"/>
      <c r="Q575" s="34"/>
      <c r="R575" s="5"/>
      <c r="S575" s="35"/>
    </row>
    <row r="576" spans="1:19" ht="30" customHeight="1" x14ac:dyDescent="0.35">
      <c r="A576" s="185" t="s">
        <v>177</v>
      </c>
      <c r="B576" s="1272" t="s">
        <v>7</v>
      </c>
      <c r="C576" s="1272"/>
      <c r="D576" s="1272"/>
      <c r="E576" s="492" t="s">
        <v>178</v>
      </c>
      <c r="F576" s="397" t="s">
        <v>52</v>
      </c>
      <c r="G576" s="185"/>
      <c r="H576" s="185"/>
      <c r="I576" s="1221" t="s">
        <v>179</v>
      </c>
      <c r="J576" s="1222"/>
      <c r="K576" s="1209" t="s">
        <v>180</v>
      </c>
      <c r="L576" s="1210"/>
      <c r="M576" s="50"/>
      <c r="N576" s="50"/>
      <c r="O576" s="384"/>
      <c r="P576" s="9"/>
      <c r="Q576" s="34"/>
      <c r="R576" s="5"/>
      <c r="S576" s="35"/>
    </row>
    <row r="577" spans="1:25" ht="30" customHeight="1" x14ac:dyDescent="0.35">
      <c r="A577" s="186">
        <v>14179</v>
      </c>
      <c r="B577" s="1202" t="s">
        <v>304</v>
      </c>
      <c r="C577" s="1203"/>
      <c r="D577" s="1204"/>
      <c r="E577" s="646">
        <v>1100</v>
      </c>
      <c r="F577" s="198">
        <v>365</v>
      </c>
      <c r="G577" s="692"/>
      <c r="H577" s="693"/>
      <c r="I577" s="1332">
        <f>+'FY2024 MILCON Inflation Table'!F22</f>
        <v>0.95834826759383673</v>
      </c>
      <c r="J577" s="1333"/>
      <c r="K577" s="199">
        <f>+F577*I577</f>
        <v>349.79711767175041</v>
      </c>
      <c r="L577" s="186" t="s">
        <v>108</v>
      </c>
      <c r="M577" s="96"/>
      <c r="N577" s="50"/>
      <c r="O577" s="539"/>
      <c r="P577" s="9"/>
      <c r="Q577" s="34"/>
      <c r="R577" s="5"/>
      <c r="S577" s="35"/>
    </row>
    <row r="578" spans="1:25" ht="30" customHeight="1" thickBot="1" x14ac:dyDescent="0.4">
      <c r="A578" s="186"/>
      <c r="B578" s="1264"/>
      <c r="C578" s="1264"/>
      <c r="D578" s="1264"/>
      <c r="E578" s="652"/>
      <c r="F578" s="653"/>
      <c r="G578" s="653"/>
      <c r="H578" s="654"/>
      <c r="I578" s="503"/>
      <c r="J578" s="494" t="s">
        <v>37</v>
      </c>
      <c r="K578" s="190">
        <f>+K577</f>
        <v>349.79711767175041</v>
      </c>
      <c r="L578" s="186" t="s">
        <v>108</v>
      </c>
      <c r="M578" s="50"/>
      <c r="N578" s="50"/>
      <c r="O578" s="539"/>
      <c r="P578" s="9"/>
      <c r="Q578" s="34"/>
      <c r="R578" s="5"/>
      <c r="S578" s="35"/>
    </row>
    <row r="579" spans="1:25" ht="30" customHeight="1" thickBot="1" x14ac:dyDescent="0.4">
      <c r="A579" s="1199"/>
      <c r="B579" s="1200"/>
      <c r="C579" s="1200"/>
      <c r="D579" s="1200"/>
      <c r="E579" s="1200"/>
      <c r="F579" s="1200"/>
      <c r="G579" s="1200"/>
      <c r="H579" s="1200"/>
      <c r="I579" s="1200"/>
      <c r="J579" s="1200"/>
      <c r="K579" s="1200"/>
      <c r="L579" s="1201"/>
      <c r="M579" s="50"/>
      <c r="N579" s="50"/>
    </row>
    <row r="580" spans="1:25" ht="30" customHeight="1" x14ac:dyDescent="0.35">
      <c r="A580" s="388" t="s">
        <v>1</v>
      </c>
      <c r="B580" s="389">
        <v>1461</v>
      </c>
      <c r="C580" s="1205" t="s">
        <v>305</v>
      </c>
      <c r="D580" s="1206"/>
      <c r="E580" s="392" t="s">
        <v>3</v>
      </c>
      <c r="F580" s="393" t="s">
        <v>40</v>
      </c>
      <c r="G580" s="520" t="s">
        <v>2</v>
      </c>
      <c r="H580" s="132">
        <v>2</v>
      </c>
      <c r="I580" s="392" t="s">
        <v>5</v>
      </c>
      <c r="J580" s="1207" t="s">
        <v>1100</v>
      </c>
      <c r="K580" s="1207"/>
      <c r="L580" s="1208"/>
      <c r="M580" s="96"/>
      <c r="N580" s="50"/>
      <c r="O580" s="539"/>
      <c r="P580" s="9"/>
      <c r="Q580" s="34"/>
      <c r="R580" s="5"/>
      <c r="S580" s="35"/>
    </row>
    <row r="581" spans="1:25" ht="30" customHeight="1" x14ac:dyDescent="0.35">
      <c r="A581" s="474" t="s">
        <v>6</v>
      </c>
      <c r="B581" s="1334" t="s">
        <v>7</v>
      </c>
      <c r="C581" s="1335"/>
      <c r="D581" s="1336"/>
      <c r="E581" s="475" t="s">
        <v>8</v>
      </c>
      <c r="F581" s="476" t="s">
        <v>9</v>
      </c>
      <c r="G581" s="477" t="s">
        <v>10</v>
      </c>
      <c r="H581" s="478" t="s">
        <v>11</v>
      </c>
      <c r="I581" s="478" t="s">
        <v>12</v>
      </c>
      <c r="J581" s="479" t="s">
        <v>54</v>
      </c>
      <c r="K581" s="474" t="s">
        <v>13</v>
      </c>
      <c r="L581" s="480" t="s">
        <v>39</v>
      </c>
      <c r="M581" s="50"/>
      <c r="N581" s="50"/>
      <c r="P581" s="9"/>
    </row>
    <row r="582" spans="1:25" ht="30" customHeight="1" x14ac:dyDescent="0.35">
      <c r="A582" s="481" t="s">
        <v>2433</v>
      </c>
      <c r="B582" s="1386" t="s">
        <v>2435</v>
      </c>
      <c r="C582" s="1327"/>
      <c r="D582" s="1328"/>
      <c r="E582" s="482">
        <v>2</v>
      </c>
      <c r="F582" s="483" t="s">
        <v>40</v>
      </c>
      <c r="G582" s="483">
        <v>2352584.5</v>
      </c>
      <c r="H582" s="483">
        <v>35499.919999999998</v>
      </c>
      <c r="I582" s="483">
        <v>11753.05</v>
      </c>
      <c r="J582" s="694">
        <v>2</v>
      </c>
      <c r="K582" s="695">
        <f>+(G582+H582+I582)/J582</f>
        <v>1199918.7349999999</v>
      </c>
      <c r="L582" s="483" t="s">
        <v>40</v>
      </c>
      <c r="M582" s="50"/>
      <c r="N582" s="96"/>
      <c r="O582" s="384"/>
      <c r="P582" s="9"/>
      <c r="Q582" s="34"/>
      <c r="R582" s="5"/>
      <c r="S582" s="35"/>
    </row>
    <row r="583" spans="1:25" ht="30" customHeight="1" x14ac:dyDescent="0.35">
      <c r="A583" s="481" t="s">
        <v>2434</v>
      </c>
      <c r="B583" s="1386" t="s">
        <v>2436</v>
      </c>
      <c r="C583" s="1327"/>
      <c r="D583" s="1328"/>
      <c r="E583" s="482">
        <v>2</v>
      </c>
      <c r="F583" s="483" t="s">
        <v>40</v>
      </c>
      <c r="G583" s="483">
        <v>2127218.04</v>
      </c>
      <c r="H583" s="483">
        <v>35499.919999999998</v>
      </c>
      <c r="I583" s="483">
        <v>11753.05</v>
      </c>
      <c r="J583" s="694">
        <v>2</v>
      </c>
      <c r="K583" s="695">
        <f>+(G583+H583+I583)/J583</f>
        <v>1087235.5049999999</v>
      </c>
      <c r="L583" s="483" t="s">
        <v>40</v>
      </c>
      <c r="M583" s="50"/>
      <c r="N583" s="96"/>
      <c r="O583" s="384"/>
      <c r="P583" s="9"/>
      <c r="Q583" s="34"/>
      <c r="R583" s="5"/>
      <c r="S583" s="35"/>
    </row>
    <row r="584" spans="1:25" ht="30" customHeight="1" x14ac:dyDescent="0.35">
      <c r="A584" s="1377" t="s">
        <v>2727</v>
      </c>
      <c r="B584" s="1378"/>
      <c r="C584" s="1378"/>
      <c r="D584" s="1378"/>
      <c r="E584" s="485"/>
      <c r="F584" s="485"/>
      <c r="G584" s="485"/>
      <c r="H584" s="485"/>
      <c r="I584" s="485"/>
      <c r="J584" s="696"/>
      <c r="K584" s="697">
        <f>SUM(K582:K583)</f>
        <v>2287154.2399999998</v>
      </c>
      <c r="L584" s="486" t="s">
        <v>2428</v>
      </c>
      <c r="M584" s="96"/>
      <c r="N584" s="50"/>
      <c r="P584" s="9"/>
      <c r="Q584" s="703"/>
      <c r="R584" s="704"/>
      <c r="S584" s="705"/>
      <c r="T584" s="92"/>
      <c r="U584" s="92"/>
      <c r="V584" s="92"/>
      <c r="W584" s="92"/>
      <c r="X584" s="92"/>
      <c r="Y584" s="92"/>
    </row>
    <row r="585" spans="1:25" ht="30" customHeight="1" thickBot="1" x14ac:dyDescent="0.4">
      <c r="A585" s="1379"/>
      <c r="B585" s="1379"/>
      <c r="C585" s="1379"/>
      <c r="D585" s="1379"/>
      <c r="E585" s="488"/>
      <c r="F585" s="441"/>
      <c r="G585" s="1387"/>
      <c r="H585" s="1388"/>
      <c r="I585" s="441"/>
      <c r="J585" s="489" t="s">
        <v>37</v>
      </c>
      <c r="K585" s="490">
        <f>K584/H580</f>
        <v>1143577.1199999999</v>
      </c>
      <c r="L585" s="483" t="s">
        <v>40</v>
      </c>
      <c r="M585" s="50"/>
      <c r="N585" s="50"/>
      <c r="P585" s="9"/>
      <c r="Q585" s="34"/>
      <c r="R585" s="5"/>
      <c r="S585" s="35"/>
      <c r="U585" s="491"/>
      <c r="V585" s="491"/>
      <c r="W585" s="491"/>
      <c r="X585" s="491"/>
      <c r="Y585" s="491"/>
    </row>
    <row r="586" spans="1:25" ht="30" customHeight="1" thickBot="1" x14ac:dyDescent="0.4">
      <c r="A586" s="1183"/>
      <c r="B586" s="1183"/>
      <c r="C586" s="1183"/>
      <c r="D586" s="1183"/>
      <c r="E586" s="488"/>
      <c r="F586" s="441"/>
      <c r="G586" s="1191" t="s">
        <v>3000</v>
      </c>
      <c r="H586" s="1192"/>
      <c r="I586" s="1193"/>
      <c r="J586" s="570">
        <v>1.0438745311870332</v>
      </c>
      <c r="K586" s="1184">
        <f>+K585*J586</f>
        <v>1193751.0300162176</v>
      </c>
      <c r="L586" s="486" t="s">
        <v>40</v>
      </c>
      <c r="M586" s="50"/>
      <c r="N586" s="97"/>
      <c r="O586" s="491"/>
      <c r="T586" s="10"/>
      <c r="U586" s="10"/>
    </row>
    <row r="587" spans="1:25" ht="30" customHeight="1" thickBot="1" x14ac:dyDescent="0.4">
      <c r="A587" s="1199"/>
      <c r="B587" s="1200"/>
      <c r="C587" s="1200"/>
      <c r="D587" s="1200"/>
      <c r="E587" s="1200"/>
      <c r="F587" s="1200"/>
      <c r="G587" s="1200"/>
      <c r="H587" s="1200"/>
      <c r="I587" s="1200"/>
      <c r="J587" s="1200"/>
      <c r="K587" s="1200"/>
      <c r="L587" s="1201"/>
      <c r="M587" s="50"/>
      <c r="N587" s="50"/>
      <c r="O587" s="466"/>
      <c r="P587" s="9"/>
    </row>
    <row r="588" spans="1:25" ht="30" customHeight="1" x14ac:dyDescent="0.35">
      <c r="A588" s="388" t="s">
        <v>1</v>
      </c>
      <c r="B588" s="389">
        <v>1463</v>
      </c>
      <c r="C588" s="1408" t="s">
        <v>307</v>
      </c>
      <c r="D588" s="1409"/>
      <c r="E588" s="392" t="s">
        <v>3</v>
      </c>
      <c r="F588" s="393" t="s">
        <v>40</v>
      </c>
      <c r="G588" s="390" t="s">
        <v>2</v>
      </c>
      <c r="H588" s="660">
        <v>1</v>
      </c>
      <c r="I588" s="392" t="s">
        <v>5</v>
      </c>
      <c r="J588" s="1207" t="s">
        <v>186</v>
      </c>
      <c r="K588" s="1207"/>
      <c r="L588" s="1208"/>
      <c r="M588" s="50"/>
      <c r="N588" s="50"/>
      <c r="O588" s="539"/>
      <c r="P588" s="9"/>
      <c r="Q588" s="34"/>
      <c r="R588" s="5"/>
      <c r="S588" s="35"/>
    </row>
    <row r="589" spans="1:25" ht="30" customHeight="1" x14ac:dyDescent="0.35">
      <c r="A589" s="494" t="s">
        <v>187</v>
      </c>
      <c r="B589" s="1280" t="s">
        <v>211</v>
      </c>
      <c r="C589" s="1281"/>
      <c r="D589" s="1282"/>
      <c r="E589" s="566" t="s">
        <v>52</v>
      </c>
      <c r="F589" s="566" t="s">
        <v>53</v>
      </c>
      <c r="G589" s="1219" t="s">
        <v>54</v>
      </c>
      <c r="H589" s="1220"/>
      <c r="I589" s="632" t="s">
        <v>188</v>
      </c>
      <c r="J589" s="632"/>
      <c r="K589" s="1209" t="s">
        <v>180</v>
      </c>
      <c r="L589" s="1210"/>
      <c r="M589" s="50"/>
      <c r="N589" s="50"/>
      <c r="O589" s="539"/>
      <c r="P589" s="9"/>
      <c r="Q589" s="34"/>
      <c r="R589" s="5"/>
      <c r="S589" s="35"/>
    </row>
    <row r="590" spans="1:25" ht="30" customHeight="1" x14ac:dyDescent="0.35">
      <c r="A590" s="186" t="s">
        <v>308</v>
      </c>
      <c r="B590" s="1202" t="s">
        <v>309</v>
      </c>
      <c r="C590" s="1203"/>
      <c r="D590" s="1204"/>
      <c r="E590" s="194">
        <v>34800</v>
      </c>
      <c r="F590" s="186" t="s">
        <v>40</v>
      </c>
      <c r="G590" s="117"/>
      <c r="H590" s="375">
        <v>10</v>
      </c>
      <c r="I590" s="186">
        <v>1.23</v>
      </c>
      <c r="J590" s="186"/>
      <c r="K590" s="194">
        <f>+E590*I590*H590</f>
        <v>428040</v>
      </c>
      <c r="L590" s="186" t="s">
        <v>40</v>
      </c>
      <c r="M590" s="50"/>
      <c r="N590" s="50"/>
      <c r="O590" s="539"/>
      <c r="P590" s="9"/>
      <c r="Q590" s="34"/>
      <c r="R590" s="5"/>
      <c r="S590" s="35"/>
    </row>
    <row r="591" spans="1:25" ht="30" customHeight="1" x14ac:dyDescent="0.35">
      <c r="A591" s="186"/>
      <c r="B591" s="567"/>
      <c r="C591" s="567"/>
      <c r="D591" s="567"/>
      <c r="E591" s="194"/>
      <c r="F591" s="1215" t="s">
        <v>195</v>
      </c>
      <c r="G591" s="1273" t="s">
        <v>196</v>
      </c>
      <c r="H591" s="1273"/>
      <c r="I591" s="1273"/>
      <c r="J591" s="1273"/>
      <c r="K591" s="197">
        <v>1.08</v>
      </c>
      <c r="L591" s="186"/>
      <c r="M591" s="50"/>
      <c r="N591" s="50"/>
      <c r="O591" s="539"/>
      <c r="P591" s="9"/>
      <c r="Q591" s="34"/>
      <c r="R591" s="5"/>
      <c r="S591" s="35"/>
    </row>
    <row r="592" spans="1:25" ht="30" customHeight="1" x14ac:dyDescent="0.35">
      <c r="A592" s="186"/>
      <c r="B592" s="567"/>
      <c r="C592" s="567"/>
      <c r="D592" s="567"/>
      <c r="E592" s="194"/>
      <c r="F592" s="1216"/>
      <c r="G592" s="1268" t="s">
        <v>197</v>
      </c>
      <c r="H592" s="1268"/>
      <c r="I592" s="1268"/>
      <c r="J592" s="1268"/>
      <c r="K592" s="197">
        <v>1.06</v>
      </c>
      <c r="L592" s="186"/>
      <c r="M592" s="50"/>
      <c r="N592" s="50"/>
    </row>
    <row r="593" spans="1:21" ht="30" customHeight="1" x14ac:dyDescent="0.35">
      <c r="A593" s="186"/>
      <c r="B593" s="186"/>
      <c r="C593" s="503"/>
      <c r="D593" s="503"/>
      <c r="E593" s="503"/>
      <c r="F593" s="503"/>
      <c r="G593" s="503"/>
      <c r="H593" s="503"/>
      <c r="I593" s="503"/>
      <c r="J593" s="186" t="s">
        <v>37</v>
      </c>
      <c r="K593" s="193">
        <f>+K590*K591/K592</f>
        <v>436116.22641509434</v>
      </c>
      <c r="L593" s="186" t="s">
        <v>40</v>
      </c>
      <c r="M593" s="50"/>
      <c r="N593" s="50"/>
      <c r="O593" s="539"/>
      <c r="P593" s="9"/>
      <c r="Q593" s="34"/>
      <c r="R593" s="5"/>
      <c r="S593" s="35"/>
    </row>
    <row r="594" spans="1:21" ht="30" customHeight="1" x14ac:dyDescent="0.35">
      <c r="A594" s="176"/>
      <c r="B594" s="661"/>
      <c r="C594" s="662"/>
      <c r="D594" s="662"/>
      <c r="E594" s="662"/>
      <c r="F594" s="662"/>
      <c r="G594" s="1357" t="s">
        <v>257</v>
      </c>
      <c r="H594" s="1357"/>
      <c r="I594" s="1358"/>
      <c r="J594" s="560">
        <f>VLOOKUP(B588,'Mil Cost Premiums for PUCs'!$A$4:$R$285,18,FALSE)</f>
        <v>1.1199953840399997</v>
      </c>
      <c r="K594" s="178">
        <f>+K593*J594</f>
        <v>488448.16048984905</v>
      </c>
      <c r="L594" s="186" t="s">
        <v>40</v>
      </c>
      <c r="M594" s="50"/>
      <c r="N594" s="50"/>
      <c r="T594" s="10"/>
      <c r="U594" s="10"/>
    </row>
    <row r="595" spans="1:21" s="396" customFormat="1" ht="30" customHeight="1" x14ac:dyDescent="0.35">
      <c r="A595" s="569"/>
      <c r="B595" s="569"/>
      <c r="C595" s="510"/>
      <c r="D595" s="510"/>
      <c r="E595" s="510"/>
      <c r="F595" s="510"/>
      <c r="G595" s="1191" t="s">
        <v>2817</v>
      </c>
      <c r="H595" s="1192"/>
      <c r="I595" s="1193"/>
      <c r="J595" s="570">
        <v>1.1214</v>
      </c>
      <c r="K595" s="285">
        <f>+K594*J595</f>
        <v>547745.76717331668</v>
      </c>
      <c r="L595" s="186" t="s">
        <v>40</v>
      </c>
      <c r="M595" s="50"/>
      <c r="N595" s="96"/>
      <c r="P595" s="384"/>
    </row>
    <row r="596" spans="1:21" ht="30" customHeight="1" thickBot="1" x14ac:dyDescent="0.4">
      <c r="A596" s="569"/>
      <c r="B596" s="569"/>
      <c r="C596" s="510"/>
      <c r="D596" s="510"/>
      <c r="E596" s="510"/>
      <c r="F596" s="510"/>
      <c r="G596" s="1191" t="s">
        <v>3000</v>
      </c>
      <c r="H596" s="1192"/>
      <c r="I596" s="1193"/>
      <c r="J596" s="570">
        <v>1.0438745311870361</v>
      </c>
      <c r="K596" s="285">
        <f>+K595*J596</f>
        <v>571777.85591772932</v>
      </c>
      <c r="L596" s="186" t="s">
        <v>40</v>
      </c>
      <c r="M596" s="50"/>
      <c r="N596" s="50"/>
      <c r="T596" s="53"/>
      <c r="U596" s="53"/>
    </row>
    <row r="597" spans="1:21" s="396" customFormat="1" ht="30" customHeight="1" thickBot="1" x14ac:dyDescent="0.4">
      <c r="A597" s="1199"/>
      <c r="B597" s="1200"/>
      <c r="C597" s="1200"/>
      <c r="D597" s="1200"/>
      <c r="E597" s="1200"/>
      <c r="F597" s="1200"/>
      <c r="G597" s="1200"/>
      <c r="H597" s="1200"/>
      <c r="I597" s="1200"/>
      <c r="J597" s="1200"/>
      <c r="K597" s="1200"/>
      <c r="L597" s="1201"/>
      <c r="M597" s="50"/>
      <c r="N597" s="50"/>
      <c r="P597" s="384"/>
    </row>
    <row r="598" spans="1:21" s="396" customFormat="1" ht="48.75" customHeight="1" x14ac:dyDescent="0.35">
      <c r="A598" s="388" t="s">
        <v>1</v>
      </c>
      <c r="B598" s="389">
        <v>1464</v>
      </c>
      <c r="C598" s="1487" t="s">
        <v>2437</v>
      </c>
      <c r="D598" s="1488"/>
      <c r="E598" s="392" t="s">
        <v>3</v>
      </c>
      <c r="F598" s="393" t="s">
        <v>28</v>
      </c>
      <c r="G598" s="520" t="s">
        <v>2</v>
      </c>
      <c r="H598" s="132">
        <v>95</v>
      </c>
      <c r="I598" s="392" t="s">
        <v>5</v>
      </c>
      <c r="J598" s="1207" t="s">
        <v>1100</v>
      </c>
      <c r="K598" s="1207"/>
      <c r="L598" s="1208"/>
      <c r="M598" s="96"/>
      <c r="N598" s="50"/>
      <c r="P598" s="384"/>
    </row>
    <row r="599" spans="1:21" ht="30" customHeight="1" x14ac:dyDescent="0.35">
      <c r="A599" s="474" t="s">
        <v>6</v>
      </c>
      <c r="B599" s="1684" t="s">
        <v>7</v>
      </c>
      <c r="C599" s="1685"/>
      <c r="D599" s="1686"/>
      <c r="E599" s="475" t="s">
        <v>8</v>
      </c>
      <c r="F599" s="476" t="s">
        <v>9</v>
      </c>
      <c r="G599" s="477" t="s">
        <v>10</v>
      </c>
      <c r="H599" s="478" t="s">
        <v>11</v>
      </c>
      <c r="I599" s="478" t="s">
        <v>12</v>
      </c>
      <c r="J599" s="479" t="s">
        <v>54</v>
      </c>
      <c r="K599" s="474" t="s">
        <v>13</v>
      </c>
      <c r="L599" s="480" t="s">
        <v>39</v>
      </c>
      <c r="M599" s="50"/>
      <c r="N599" s="50"/>
    </row>
    <row r="600" spans="1:21" ht="30" customHeight="1" x14ac:dyDescent="0.35">
      <c r="A600" s="481" t="s">
        <v>2438</v>
      </c>
      <c r="B600" s="1386" t="s">
        <v>2439</v>
      </c>
      <c r="C600" s="1687"/>
      <c r="D600" s="1688"/>
      <c r="E600" s="698">
        <v>140.36000000000001</v>
      </c>
      <c r="F600" s="699" t="s">
        <v>41</v>
      </c>
      <c r="G600" s="699">
        <v>733641.27</v>
      </c>
      <c r="H600" s="699">
        <v>1271925.1100000001</v>
      </c>
      <c r="I600" s="699">
        <v>45343.27</v>
      </c>
      <c r="J600" s="700">
        <f>+H598</f>
        <v>95</v>
      </c>
      <c r="K600" s="701">
        <f>+(G600+H600+I600)/J600</f>
        <v>21588.522631578948</v>
      </c>
      <c r="L600" s="702" t="s">
        <v>28</v>
      </c>
      <c r="M600" s="50"/>
      <c r="N600" s="50"/>
    </row>
    <row r="601" spans="1:21" ht="30" customHeight="1" x14ac:dyDescent="0.35">
      <c r="A601" s="1377" t="s">
        <v>2929</v>
      </c>
      <c r="B601" s="1378"/>
      <c r="C601" s="1378"/>
      <c r="D601" s="1378"/>
      <c r="E601" s="599"/>
      <c r="F601" s="595"/>
      <c r="G601" s="1563"/>
      <c r="H601" s="1563"/>
      <c r="I601" s="595"/>
      <c r="J601" s="278"/>
      <c r="K601" s="278"/>
      <c r="L601" s="278"/>
      <c r="M601" s="50"/>
      <c r="N601" s="50"/>
    </row>
    <row r="602" spans="1:21" ht="30" customHeight="1" thickBot="1" x14ac:dyDescent="0.4">
      <c r="A602" s="1533"/>
      <c r="B602" s="1533"/>
      <c r="C602" s="1533"/>
      <c r="D602" s="1533"/>
      <c r="E602" s="449"/>
      <c r="F602" s="450"/>
      <c r="G602" s="451"/>
      <c r="H602" s="451"/>
      <c r="I602" s="450"/>
      <c r="J602" s="706" t="s">
        <v>37</v>
      </c>
      <c r="K602" s="452">
        <f>+K600</f>
        <v>21588.522631578948</v>
      </c>
      <c r="L602" s="702" t="s">
        <v>28</v>
      </c>
      <c r="M602" s="50"/>
      <c r="N602" s="50"/>
      <c r="O602" s="5"/>
      <c r="P602" s="9"/>
      <c r="Q602" s="34"/>
      <c r="R602" s="5"/>
      <c r="S602" s="35"/>
    </row>
    <row r="603" spans="1:21" ht="30" customHeight="1" thickBot="1" x14ac:dyDescent="0.4">
      <c r="A603" s="1199"/>
      <c r="B603" s="1200"/>
      <c r="C603" s="1200"/>
      <c r="D603" s="1200"/>
      <c r="E603" s="1200"/>
      <c r="F603" s="1200"/>
      <c r="G603" s="1200"/>
      <c r="H603" s="1200"/>
      <c r="I603" s="1200"/>
      <c r="J603" s="1200"/>
      <c r="K603" s="1200"/>
      <c r="L603" s="1201"/>
      <c r="M603" s="50"/>
      <c r="N603" s="50"/>
      <c r="O603" s="5"/>
      <c r="P603" s="9"/>
      <c r="Q603" s="34"/>
      <c r="R603" s="5"/>
      <c r="S603" s="35"/>
    </row>
    <row r="604" spans="1:21" ht="30" customHeight="1" x14ac:dyDescent="0.35">
      <c r="A604" s="388" t="s">
        <v>1</v>
      </c>
      <c r="B604" s="388">
        <v>1465</v>
      </c>
      <c r="C604" s="1205" t="s">
        <v>310</v>
      </c>
      <c r="D604" s="1206"/>
      <c r="E604" s="392" t="s">
        <v>3</v>
      </c>
      <c r="F604" s="393" t="s">
        <v>108</v>
      </c>
      <c r="G604" s="390" t="s">
        <v>38</v>
      </c>
      <c r="H604" s="132">
        <v>7747</v>
      </c>
      <c r="I604" s="392" t="s">
        <v>5</v>
      </c>
      <c r="J604" s="1304" t="s">
        <v>311</v>
      </c>
      <c r="K604" s="1304"/>
      <c r="L604" s="1224"/>
      <c r="M604" s="97"/>
      <c r="N604" s="96"/>
      <c r="P604" s="9"/>
      <c r="Q604" s="34"/>
      <c r="R604" s="5"/>
      <c r="S604" s="35"/>
    </row>
    <row r="605" spans="1:21" ht="30" customHeight="1" x14ac:dyDescent="0.35">
      <c r="A605" s="185" t="s">
        <v>177</v>
      </c>
      <c r="B605" s="1337" t="s">
        <v>306</v>
      </c>
      <c r="C605" s="1337"/>
      <c r="D605" s="1337"/>
      <c r="E605" s="185" t="s">
        <v>52</v>
      </c>
      <c r="F605" s="185" t="s">
        <v>53</v>
      </c>
      <c r="G605" s="1219" t="s">
        <v>54</v>
      </c>
      <c r="H605" s="1220"/>
      <c r="I605" s="185" t="s">
        <v>55</v>
      </c>
      <c r="J605" s="185" t="s">
        <v>56</v>
      </c>
      <c r="K605" s="1209" t="s">
        <v>37</v>
      </c>
      <c r="L605" s="1210"/>
      <c r="M605" s="50"/>
      <c r="N605" s="97"/>
      <c r="P605" s="9"/>
      <c r="Q605" s="34"/>
      <c r="R605" s="5"/>
      <c r="S605" s="35"/>
    </row>
    <row r="606" spans="1:21" ht="30" customHeight="1" x14ac:dyDescent="0.35">
      <c r="A606" s="407" t="s">
        <v>312</v>
      </c>
      <c r="B606" s="1202" t="s">
        <v>313</v>
      </c>
      <c r="C606" s="1203"/>
      <c r="D606" s="1204"/>
      <c r="E606" s="194">
        <v>4306.5</v>
      </c>
      <c r="F606" s="188" t="s">
        <v>314</v>
      </c>
      <c r="G606" s="707">
        <v>10.7639</v>
      </c>
      <c r="H606" s="708" t="s">
        <v>315</v>
      </c>
      <c r="I606" s="188">
        <v>1.17</v>
      </c>
      <c r="J606" s="709">
        <v>1.2561</v>
      </c>
      <c r="K606" s="128">
        <f>+E606/G606/I606*J606</f>
        <v>429.52965289246754</v>
      </c>
      <c r="L606" s="188" t="s">
        <v>108</v>
      </c>
      <c r="M606" s="97"/>
      <c r="N606" s="50"/>
      <c r="P606" s="9"/>
      <c r="Q606" s="34"/>
      <c r="R606" s="5"/>
      <c r="S606" s="35"/>
    </row>
    <row r="607" spans="1:21" ht="30" customHeight="1" x14ac:dyDescent="0.35">
      <c r="A607" s="407"/>
      <c r="B607" s="1446" t="s">
        <v>316</v>
      </c>
      <c r="C607" s="1446"/>
      <c r="D607" s="1446"/>
      <c r="E607" s="469"/>
      <c r="F607" s="188"/>
      <c r="G607" s="1332"/>
      <c r="H607" s="1333"/>
      <c r="I607" s="188"/>
      <c r="J607" s="710" t="s">
        <v>37</v>
      </c>
      <c r="K607" s="471">
        <f>+K606</f>
        <v>429.52965289246754</v>
      </c>
      <c r="L607" s="188" t="s">
        <v>108</v>
      </c>
      <c r="M607" s="50"/>
      <c r="N607" s="50"/>
      <c r="P607" s="9"/>
      <c r="Q607" s="34"/>
      <c r="R607" s="5"/>
      <c r="S607" s="35"/>
    </row>
    <row r="608" spans="1:21" ht="30" customHeight="1" x14ac:dyDescent="0.35">
      <c r="A608" s="569"/>
      <c r="B608" s="569"/>
      <c r="C608" s="510"/>
      <c r="D608" s="510"/>
      <c r="E608" s="510"/>
      <c r="F608" s="510"/>
      <c r="G608" s="1191" t="s">
        <v>2817</v>
      </c>
      <c r="H608" s="1192"/>
      <c r="I608" s="1193"/>
      <c r="J608" s="570">
        <v>1.1214</v>
      </c>
      <c r="K608" s="285">
        <f>+K607*J608</f>
        <v>481.67455275361306</v>
      </c>
      <c r="L608" s="188" t="s">
        <v>108</v>
      </c>
      <c r="M608" s="50"/>
      <c r="N608" s="50"/>
      <c r="P608" s="9"/>
      <c r="Q608" s="34"/>
      <c r="R608" s="5"/>
      <c r="S608" s="35"/>
    </row>
    <row r="609" spans="1:21" ht="30" customHeight="1" thickBot="1" x14ac:dyDescent="0.4">
      <c r="A609" s="569"/>
      <c r="B609" s="569"/>
      <c r="C609" s="510"/>
      <c r="D609" s="510"/>
      <c r="E609" s="510"/>
      <c r="F609" s="510"/>
      <c r="G609" s="1191" t="s">
        <v>3000</v>
      </c>
      <c r="H609" s="1192"/>
      <c r="I609" s="1193"/>
      <c r="J609" s="570">
        <v>1.0438745311870361</v>
      </c>
      <c r="K609" s="285">
        <f>+K608*J609</f>
        <v>502.80779794040313</v>
      </c>
      <c r="L609" s="188" t="s">
        <v>108</v>
      </c>
      <c r="M609" s="50"/>
      <c r="N609" s="50"/>
      <c r="P609" s="9"/>
      <c r="Q609" s="34"/>
      <c r="R609" s="5"/>
      <c r="S609" s="35"/>
    </row>
    <row r="610" spans="1:21" ht="44.25" customHeight="1" thickBot="1" x14ac:dyDescent="0.4">
      <c r="A610" s="1199"/>
      <c r="B610" s="1200"/>
      <c r="C610" s="1200"/>
      <c r="D610" s="1200"/>
      <c r="E610" s="1200"/>
      <c r="F610" s="1200"/>
      <c r="G610" s="1200"/>
      <c r="H610" s="1200"/>
      <c r="I610" s="1200"/>
      <c r="J610" s="1200"/>
      <c r="K610" s="1200"/>
      <c r="L610" s="1201"/>
      <c r="M610" s="50"/>
      <c r="N610" s="50"/>
      <c r="O610" s="5"/>
      <c r="P610" s="9"/>
      <c r="Q610" s="34"/>
      <c r="R610" s="5"/>
      <c r="S610" s="35"/>
    </row>
    <row r="611" spans="1:21" ht="30" customHeight="1" x14ac:dyDescent="0.35">
      <c r="A611" s="388" t="s">
        <v>1</v>
      </c>
      <c r="B611" s="389">
        <v>1466</v>
      </c>
      <c r="C611" s="1205" t="s">
        <v>317</v>
      </c>
      <c r="D611" s="1206"/>
      <c r="E611" s="392" t="s">
        <v>3</v>
      </c>
      <c r="F611" s="393" t="s">
        <v>108</v>
      </c>
      <c r="G611" s="390" t="s">
        <v>38</v>
      </c>
      <c r="H611" s="132">
        <v>14215</v>
      </c>
      <c r="I611" s="392" t="s">
        <v>5</v>
      </c>
      <c r="J611" s="1304" t="s">
        <v>311</v>
      </c>
      <c r="K611" s="1304"/>
      <c r="L611" s="1224"/>
      <c r="M611" s="50"/>
      <c r="N611" s="50"/>
      <c r="O611" s="5"/>
      <c r="P611" s="9"/>
      <c r="Q611" s="34"/>
      <c r="R611" s="5"/>
      <c r="S611" s="35"/>
    </row>
    <row r="612" spans="1:21" ht="30" customHeight="1" x14ac:dyDescent="0.35">
      <c r="A612" s="185"/>
      <c r="B612" s="1272" t="s">
        <v>7</v>
      </c>
      <c r="C612" s="1272"/>
      <c r="D612" s="1272"/>
      <c r="E612" s="185" t="s">
        <v>52</v>
      </c>
      <c r="F612" s="185" t="s">
        <v>53</v>
      </c>
      <c r="G612" s="1219" t="s">
        <v>54</v>
      </c>
      <c r="H612" s="1220"/>
      <c r="I612" s="185" t="s">
        <v>55</v>
      </c>
      <c r="J612" s="185" t="s">
        <v>56</v>
      </c>
      <c r="K612" s="1209" t="s">
        <v>180</v>
      </c>
      <c r="L612" s="1210"/>
      <c r="M612" s="50"/>
      <c r="N612" s="50"/>
      <c r="O612" s="5"/>
      <c r="P612" s="9"/>
      <c r="Q612" s="34"/>
      <c r="R612" s="5"/>
      <c r="S612" s="35"/>
    </row>
    <row r="613" spans="1:21" ht="30" customHeight="1" x14ac:dyDescent="0.35">
      <c r="A613" s="407" t="s">
        <v>312</v>
      </c>
      <c r="B613" s="1264" t="s">
        <v>318</v>
      </c>
      <c r="C613" s="1264"/>
      <c r="D613" s="1264"/>
      <c r="E613" s="469">
        <v>6943</v>
      </c>
      <c r="F613" s="188" t="s">
        <v>314</v>
      </c>
      <c r="G613" s="1332">
        <f>1/10.76391</f>
        <v>9.2903043596611279E-2</v>
      </c>
      <c r="H613" s="1333"/>
      <c r="I613" s="188">
        <v>2.35</v>
      </c>
      <c r="J613" s="470">
        <f>+'FY2024 MILCON Inflation Table'!F13</f>
        <v>1.4708740491364725</v>
      </c>
      <c r="K613" s="471">
        <f>E613*G613/I613*J613</f>
        <v>403.72415185419663</v>
      </c>
      <c r="L613" s="188" t="s">
        <v>108</v>
      </c>
      <c r="M613" s="50"/>
      <c r="N613" s="97"/>
      <c r="O613" s="55"/>
      <c r="P613" s="9"/>
      <c r="Q613" s="34"/>
      <c r="R613" s="5"/>
      <c r="S613" s="35"/>
    </row>
    <row r="614" spans="1:21" ht="30" customHeight="1" x14ac:dyDescent="0.35">
      <c r="A614" s="186"/>
      <c r="B614" s="1212" t="s">
        <v>319</v>
      </c>
      <c r="C614" s="1213"/>
      <c r="D614" s="1213"/>
      <c r="E614" s="711"/>
      <c r="F614" s="711"/>
      <c r="G614" s="711"/>
      <c r="H614" s="711"/>
      <c r="I614" s="712"/>
      <c r="J614" s="494" t="s">
        <v>37</v>
      </c>
      <c r="K614" s="199">
        <f>+K613</f>
        <v>403.72415185419663</v>
      </c>
      <c r="L614" s="186" t="s">
        <v>108</v>
      </c>
      <c r="M614" s="50"/>
      <c r="N614" s="50"/>
      <c r="O614" s="5"/>
      <c r="P614" s="9"/>
      <c r="Q614" s="34"/>
      <c r="R614" s="5"/>
      <c r="S614" s="35"/>
    </row>
    <row r="615" spans="1:21" ht="30" customHeight="1" thickBot="1" x14ac:dyDescent="0.4">
      <c r="A615" s="1553" t="s">
        <v>320</v>
      </c>
      <c r="B615" s="1554"/>
      <c r="C615" s="1554"/>
      <c r="D615" s="1554"/>
      <c r="E615" s="1554"/>
      <c r="F615" s="1554"/>
      <c r="G615" s="1554"/>
      <c r="H615" s="1554"/>
      <c r="I615" s="1555"/>
      <c r="J615" s="377"/>
      <c r="K615" s="377"/>
      <c r="L615" s="377"/>
      <c r="M615" s="50"/>
      <c r="N615" s="50"/>
      <c r="T615" s="10"/>
      <c r="U615" s="10"/>
    </row>
    <row r="616" spans="1:21" ht="30" customHeight="1" x14ac:dyDescent="0.35">
      <c r="A616" s="569"/>
      <c r="B616" s="569"/>
      <c r="C616" s="510"/>
      <c r="D616" s="510"/>
      <c r="E616" s="510"/>
      <c r="F616" s="510"/>
      <c r="G616" s="1191" t="s">
        <v>2817</v>
      </c>
      <c r="H616" s="1192"/>
      <c r="I616" s="1193"/>
      <c r="J616" s="570">
        <v>1.1214</v>
      </c>
      <c r="K616" s="285">
        <f>+K614*J616</f>
        <v>452.73626388929608</v>
      </c>
      <c r="L616" s="188" t="s">
        <v>108</v>
      </c>
      <c r="M616" s="50"/>
      <c r="N616" s="50"/>
      <c r="T616" s="53"/>
      <c r="U616" s="53"/>
    </row>
    <row r="617" spans="1:21" s="396" customFormat="1" ht="30" customHeight="1" thickBot="1" x14ac:dyDescent="0.4">
      <c r="A617" s="569"/>
      <c r="B617" s="569"/>
      <c r="C617" s="510"/>
      <c r="D617" s="510"/>
      <c r="E617" s="510"/>
      <c r="F617" s="510"/>
      <c r="G617" s="1191" t="s">
        <v>3000</v>
      </c>
      <c r="H617" s="1192"/>
      <c r="I617" s="1193"/>
      <c r="J617" s="570">
        <v>1.0438745311870361</v>
      </c>
      <c r="K617" s="285">
        <f>+K616*J617</f>
        <v>472.59985521880924</v>
      </c>
      <c r="L617" s="188" t="s">
        <v>108</v>
      </c>
      <c r="M617" s="50"/>
      <c r="N617" s="50"/>
      <c r="O617" s="572"/>
      <c r="P617" s="384"/>
    </row>
    <row r="618" spans="1:21" s="396" customFormat="1" ht="30" customHeight="1" thickBot="1" x14ac:dyDescent="0.4">
      <c r="A618" s="1199"/>
      <c r="B618" s="1200"/>
      <c r="C618" s="1200"/>
      <c r="D618" s="1200"/>
      <c r="E618" s="1200"/>
      <c r="F618" s="1200"/>
      <c r="G618" s="1200"/>
      <c r="H618" s="1200"/>
      <c r="I618" s="1200"/>
      <c r="J618" s="1200"/>
      <c r="K618" s="1200"/>
      <c r="L618" s="1201"/>
      <c r="M618" s="50"/>
      <c r="N618" s="50"/>
      <c r="O618" s="572"/>
      <c r="P618" s="384"/>
    </row>
    <row r="619" spans="1:21" s="396" customFormat="1" ht="30" customHeight="1" x14ac:dyDescent="0.35">
      <c r="A619" s="388" t="s">
        <v>1</v>
      </c>
      <c r="B619" s="388">
        <v>1467</v>
      </c>
      <c r="C619" s="1290" t="s">
        <v>321</v>
      </c>
      <c r="D619" s="1291"/>
      <c r="E619" s="392" t="s">
        <v>3</v>
      </c>
      <c r="F619" s="393" t="s">
        <v>40</v>
      </c>
      <c r="G619" s="390" t="s">
        <v>2</v>
      </c>
      <c r="H619" s="132">
        <v>1</v>
      </c>
      <c r="I619" s="392" t="s">
        <v>5</v>
      </c>
      <c r="J619" s="1207" t="s">
        <v>2538</v>
      </c>
      <c r="K619" s="1207"/>
      <c r="L619" s="1208"/>
      <c r="M619" s="96"/>
      <c r="N619" s="50"/>
      <c r="O619" s="572"/>
      <c r="P619" s="384"/>
    </row>
    <row r="620" spans="1:21" s="396" customFormat="1" ht="30" customHeight="1" x14ac:dyDescent="0.35">
      <c r="A620" s="185" t="s">
        <v>177</v>
      </c>
      <c r="B620" s="1272" t="s">
        <v>7</v>
      </c>
      <c r="C620" s="1272"/>
      <c r="D620" s="1272"/>
      <c r="E620" s="185" t="s">
        <v>52</v>
      </c>
      <c r="F620" s="185" t="s">
        <v>53</v>
      </c>
      <c r="G620" s="1219" t="s">
        <v>54</v>
      </c>
      <c r="H620" s="1220"/>
      <c r="I620" s="1221" t="s">
        <v>179</v>
      </c>
      <c r="J620" s="1222"/>
      <c r="K620" s="399" t="s">
        <v>322</v>
      </c>
      <c r="L620" s="185"/>
      <c r="M620" s="50"/>
      <c r="N620" s="50"/>
      <c r="O620" s="572"/>
      <c r="P620" s="384"/>
    </row>
    <row r="621" spans="1:21" s="396" customFormat="1" ht="30" customHeight="1" x14ac:dyDescent="0.35">
      <c r="A621" s="188">
        <v>81242</v>
      </c>
      <c r="B621" s="1264" t="s">
        <v>323</v>
      </c>
      <c r="C621" s="1264"/>
      <c r="D621" s="1264"/>
      <c r="E621" s="713">
        <v>132.56</v>
      </c>
      <c r="F621" s="188" t="s">
        <v>28</v>
      </c>
      <c r="G621" s="709">
        <v>98</v>
      </c>
      <c r="H621" s="714" t="s">
        <v>28</v>
      </c>
      <c r="I621" s="1332">
        <f>+'FY2024 MILCON Inflation Table'!F22</f>
        <v>0.95834826759383673</v>
      </c>
      <c r="J621" s="1333"/>
      <c r="K621" s="469">
        <f>+E621*G621*I621</f>
        <v>12449.787342519423</v>
      </c>
      <c r="L621" s="186" t="s">
        <v>40</v>
      </c>
      <c r="M621" s="96"/>
      <c r="N621" s="50"/>
      <c r="O621" s="384"/>
      <c r="P621" s="384"/>
    </row>
    <row r="622" spans="1:21" ht="30" customHeight="1" x14ac:dyDescent="0.35">
      <c r="A622" s="188">
        <v>81242</v>
      </c>
      <c r="B622" s="1264" t="s">
        <v>324</v>
      </c>
      <c r="C622" s="1264"/>
      <c r="D622" s="1264"/>
      <c r="E622" s="713">
        <v>69.19</v>
      </c>
      <c r="F622" s="188" t="s">
        <v>28</v>
      </c>
      <c r="G622" s="709">
        <v>98</v>
      </c>
      <c r="H622" s="714" t="s">
        <v>28</v>
      </c>
      <c r="I622" s="1332">
        <f>+I621</f>
        <v>0.95834826759383673</v>
      </c>
      <c r="J622" s="1333"/>
      <c r="K622" s="469">
        <f>+E622*G622*I622</f>
        <v>6498.1954302121212</v>
      </c>
      <c r="L622" s="186" t="s">
        <v>40</v>
      </c>
      <c r="M622" s="50"/>
      <c r="N622" s="50"/>
    </row>
    <row r="623" spans="1:21" ht="30" customHeight="1" x14ac:dyDescent="0.35">
      <c r="A623" s="186">
        <v>81242</v>
      </c>
      <c r="B623" s="1264" t="s">
        <v>2543</v>
      </c>
      <c r="C623" s="1264"/>
      <c r="D623" s="1264"/>
      <c r="E623" s="198">
        <v>2294.42</v>
      </c>
      <c r="F623" s="186" t="s">
        <v>40</v>
      </c>
      <c r="G623" s="127">
        <v>7</v>
      </c>
      <c r="H623" s="138" t="s">
        <v>40</v>
      </c>
      <c r="I623" s="1332">
        <f>+I622</f>
        <v>0.95834826759383673</v>
      </c>
      <c r="J623" s="1333"/>
      <c r="K623" s="469">
        <f>+E623*G623*I623</f>
        <v>15391.974024928557</v>
      </c>
      <c r="L623" s="186" t="s">
        <v>40</v>
      </c>
      <c r="M623" s="50"/>
      <c r="N623" s="50"/>
    </row>
    <row r="624" spans="1:21" ht="30" customHeight="1" x14ac:dyDescent="0.35">
      <c r="A624" s="186">
        <v>81242</v>
      </c>
      <c r="B624" s="1212" t="s">
        <v>325</v>
      </c>
      <c r="C624" s="1213"/>
      <c r="D624" s="1214"/>
      <c r="E624" s="198">
        <v>12105.67</v>
      </c>
      <c r="F624" s="186" t="s">
        <v>40</v>
      </c>
      <c r="G624" s="127">
        <v>2</v>
      </c>
      <c r="H624" s="129" t="s">
        <v>40</v>
      </c>
      <c r="I624" s="1332">
        <f>+I623</f>
        <v>0.95834826759383673</v>
      </c>
      <c r="J624" s="1333"/>
      <c r="K624" s="469">
        <f>+E624*G624*I624</f>
        <v>23202.895745125363</v>
      </c>
      <c r="L624" s="186" t="s">
        <v>40</v>
      </c>
      <c r="M624" s="50"/>
      <c r="N624" s="50"/>
      <c r="O624" s="724"/>
      <c r="P624" s="724"/>
      <c r="Q624" s="34"/>
      <c r="R624" s="5"/>
      <c r="S624" s="35"/>
    </row>
    <row r="625" spans="1:19" ht="30" customHeight="1" x14ac:dyDescent="0.35">
      <c r="A625" s="186">
        <v>11110</v>
      </c>
      <c r="B625" s="1212" t="s">
        <v>326</v>
      </c>
      <c r="C625" s="1213"/>
      <c r="D625" s="1214"/>
      <c r="E625" s="198">
        <v>149.66</v>
      </c>
      <c r="F625" s="186" t="s">
        <v>4</v>
      </c>
      <c r="G625" s="715">
        <v>13</v>
      </c>
      <c r="H625" s="129" t="s">
        <v>4</v>
      </c>
      <c r="I625" s="1332">
        <f>+I624</f>
        <v>0.95834826759383673</v>
      </c>
      <c r="J625" s="1333"/>
      <c r="K625" s="469">
        <f>+E625*G625*I625</f>
        <v>1864.5432224652168</v>
      </c>
      <c r="L625" s="186" t="s">
        <v>40</v>
      </c>
      <c r="M625" s="50"/>
      <c r="N625" s="50"/>
      <c r="O625" s="56"/>
      <c r="P625" s="56"/>
      <c r="Q625" s="34"/>
      <c r="R625" s="5"/>
      <c r="S625" s="35"/>
    </row>
    <row r="626" spans="1:19" ht="30" customHeight="1" x14ac:dyDescent="0.35">
      <c r="A626" s="401"/>
      <c r="B626" s="534"/>
      <c r="C626" s="534"/>
      <c r="D626" s="534"/>
      <c r="E626" s="193"/>
      <c r="F626" s="401"/>
      <c r="G626" s="392"/>
      <c r="H626" s="139"/>
      <c r="I626" s="716"/>
      <c r="J626" s="136" t="s">
        <v>223</v>
      </c>
      <c r="K626" s="190">
        <f>SUM(K621:K625)</f>
        <v>59407.39576525068</v>
      </c>
      <c r="L626" s="186" t="s">
        <v>40</v>
      </c>
      <c r="M626" s="50"/>
      <c r="N626" s="50"/>
      <c r="O626" s="5"/>
      <c r="P626" s="9"/>
      <c r="Q626" s="34"/>
      <c r="R626" s="5"/>
      <c r="S626" s="35"/>
    </row>
    <row r="627" spans="1:19" ht="30" customHeight="1" x14ac:dyDescent="0.35">
      <c r="A627" s="401"/>
      <c r="B627" s="534"/>
      <c r="C627" s="534"/>
      <c r="D627" s="534"/>
      <c r="E627" s="503"/>
      <c r="F627" s="401"/>
      <c r="G627" s="1679"/>
      <c r="H627" s="1680"/>
      <c r="I627" s="1680"/>
      <c r="J627" s="125" t="s">
        <v>37</v>
      </c>
      <c r="K627" s="491">
        <f>+K626</f>
        <v>59407.39576525068</v>
      </c>
      <c r="L627" s="186" t="s">
        <v>40</v>
      </c>
      <c r="M627" s="50"/>
      <c r="N627" s="50"/>
    </row>
    <row r="628" spans="1:19" ht="30" customHeight="1" thickBot="1" x14ac:dyDescent="0.4">
      <c r="A628" s="1320" t="s">
        <v>2542</v>
      </c>
      <c r="B628" s="1321"/>
      <c r="C628" s="1321"/>
      <c r="D628" s="1321"/>
      <c r="E628" s="1321"/>
      <c r="F628" s="1321"/>
      <c r="G628" s="1321"/>
      <c r="H628" s="1321"/>
      <c r="I628" s="1321"/>
      <c r="J628" s="1321"/>
      <c r="K628" s="1321"/>
      <c r="L628" s="1322"/>
      <c r="M628" s="50"/>
      <c r="N628" s="50"/>
      <c r="O628" s="5"/>
      <c r="P628" s="9"/>
      <c r="Q628" s="34"/>
      <c r="R628" s="5"/>
      <c r="S628" s="35"/>
    </row>
    <row r="629" spans="1:19" ht="30" customHeight="1" thickBot="1" x14ac:dyDescent="0.4">
      <c r="A629" s="1548"/>
      <c r="B629" s="1549"/>
      <c r="C629" s="1549"/>
      <c r="D629" s="1549"/>
      <c r="E629" s="1549"/>
      <c r="F629" s="1549"/>
      <c r="G629" s="1549"/>
      <c r="H629" s="1549"/>
      <c r="I629" s="1549"/>
      <c r="J629" s="1549"/>
      <c r="K629" s="1549"/>
      <c r="L629" s="1550"/>
      <c r="M629" s="96"/>
      <c r="N629" s="96"/>
      <c r="O629" s="5"/>
      <c r="P629" s="9"/>
      <c r="Q629" s="34"/>
      <c r="R629" s="5"/>
      <c r="S629" s="35"/>
    </row>
    <row r="630" spans="1:19" ht="30" customHeight="1" x14ac:dyDescent="0.35">
      <c r="A630" s="442" t="s">
        <v>1</v>
      </c>
      <c r="B630" s="442">
        <v>1481</v>
      </c>
      <c r="C630" s="1683" t="s">
        <v>327</v>
      </c>
      <c r="D630" s="1683"/>
      <c r="E630" s="443" t="s">
        <v>3</v>
      </c>
      <c r="F630" s="444" t="s">
        <v>40</v>
      </c>
      <c r="G630" s="719" t="s">
        <v>328</v>
      </c>
      <c r="H630" s="720" t="s">
        <v>329</v>
      </c>
      <c r="I630" s="443" t="s">
        <v>5</v>
      </c>
      <c r="J630" s="1466" t="s">
        <v>2788</v>
      </c>
      <c r="K630" s="1466"/>
      <c r="L630" s="1466"/>
      <c r="M630" s="97"/>
      <c r="N630" s="50"/>
      <c r="O630" s="633"/>
      <c r="P630" s="9"/>
      <c r="Q630" s="34"/>
      <c r="R630" s="5"/>
      <c r="S630" s="35"/>
    </row>
    <row r="631" spans="1:19" ht="30" customHeight="1" x14ac:dyDescent="0.35">
      <c r="A631" s="185"/>
      <c r="B631" s="1337" t="s">
        <v>2781</v>
      </c>
      <c r="C631" s="1337"/>
      <c r="D631" s="1337"/>
      <c r="E631" s="185" t="s">
        <v>52</v>
      </c>
      <c r="F631" s="185" t="s">
        <v>53</v>
      </c>
      <c r="G631" s="1527" t="s">
        <v>54</v>
      </c>
      <c r="H631" s="1527"/>
      <c r="I631" s="185" t="s">
        <v>55</v>
      </c>
      <c r="J631" s="185" t="s">
        <v>56</v>
      </c>
      <c r="K631" s="1527" t="s">
        <v>37</v>
      </c>
      <c r="L631" s="1527"/>
      <c r="M631" s="50"/>
      <c r="N631" s="50"/>
      <c r="O631" s="633"/>
      <c r="P631" s="9"/>
      <c r="Q631" s="34"/>
      <c r="R631" s="5"/>
      <c r="S631" s="35"/>
    </row>
    <row r="632" spans="1:19" ht="30" customHeight="1" x14ac:dyDescent="0.35">
      <c r="A632" s="461"/>
      <c r="B632" s="1515">
        <v>227063.37489937618</v>
      </c>
      <c r="C632" s="1515"/>
      <c r="D632" s="1515"/>
      <c r="E632" s="462"/>
      <c r="F632" s="463"/>
      <c r="G632" s="1191" t="s">
        <v>2817</v>
      </c>
      <c r="H632" s="1192"/>
      <c r="I632" s="1193"/>
      <c r="J632" s="570">
        <v>1.1214</v>
      </c>
      <c r="K632" s="465">
        <f>+B632*J632</f>
        <v>254628.86861216044</v>
      </c>
      <c r="L632" s="463" t="s">
        <v>40</v>
      </c>
      <c r="M632" s="50"/>
      <c r="N632" s="50"/>
      <c r="O632" s="633"/>
      <c r="P632" s="9"/>
      <c r="Q632" s="34"/>
      <c r="R632" s="5"/>
      <c r="S632" s="35"/>
    </row>
    <row r="633" spans="1:19" ht="30" customHeight="1" thickBot="1" x14ac:dyDescent="0.4">
      <c r="A633" s="461"/>
      <c r="B633" s="1515"/>
      <c r="C633" s="1515"/>
      <c r="D633" s="1515"/>
      <c r="E633" s="462"/>
      <c r="F633" s="463"/>
      <c r="G633" s="1191" t="s">
        <v>3000</v>
      </c>
      <c r="H633" s="1192"/>
      <c r="I633" s="1193"/>
      <c r="J633" s="570">
        <v>1.0438745311870361</v>
      </c>
      <c r="K633" s="465">
        <f>+K632*J633</f>
        <v>265800.5908492044</v>
      </c>
      <c r="L633" s="463" t="s">
        <v>40</v>
      </c>
      <c r="M633" s="50"/>
      <c r="N633" s="50"/>
      <c r="O633" s="5"/>
      <c r="P633" s="9"/>
      <c r="Q633" s="34"/>
      <c r="R633" s="5"/>
      <c r="S633" s="35"/>
    </row>
    <row r="634" spans="1:19" ht="30" customHeight="1" thickBot="1" x14ac:dyDescent="0.4">
      <c r="A634" s="1199"/>
      <c r="B634" s="1200"/>
      <c r="C634" s="1200"/>
      <c r="D634" s="1200"/>
      <c r="E634" s="1200"/>
      <c r="F634" s="1200"/>
      <c r="G634" s="1200"/>
      <c r="H634" s="1200"/>
      <c r="I634" s="1200"/>
      <c r="J634" s="1200"/>
      <c r="K634" s="1200"/>
      <c r="L634" s="1201"/>
      <c r="M634" s="50"/>
      <c r="N634" s="96"/>
      <c r="O634" s="5"/>
      <c r="P634" s="9"/>
      <c r="Q634" s="34"/>
      <c r="R634" s="5"/>
      <c r="S634" s="35"/>
    </row>
    <row r="635" spans="1:19" ht="30" customHeight="1" x14ac:dyDescent="0.35">
      <c r="A635" s="388" t="s">
        <v>1</v>
      </c>
      <c r="B635" s="389">
        <v>1491</v>
      </c>
      <c r="C635" s="1681" t="s">
        <v>330</v>
      </c>
      <c r="D635" s="1682"/>
      <c r="E635" s="392" t="s">
        <v>3</v>
      </c>
      <c r="F635" s="393" t="s">
        <v>40</v>
      </c>
      <c r="G635" s="529" t="s">
        <v>328</v>
      </c>
      <c r="H635" s="721" t="s">
        <v>329</v>
      </c>
      <c r="I635" s="392" t="s">
        <v>5</v>
      </c>
      <c r="J635" s="1207" t="s">
        <v>186</v>
      </c>
      <c r="K635" s="1207"/>
      <c r="L635" s="1208"/>
      <c r="M635" s="50"/>
      <c r="N635" s="50"/>
      <c r="O635" s="5"/>
      <c r="P635" s="9"/>
      <c r="Q635" s="34"/>
      <c r="R635" s="5"/>
      <c r="S635" s="35"/>
    </row>
    <row r="636" spans="1:19" ht="30" customHeight="1" x14ac:dyDescent="0.35">
      <c r="A636" s="494" t="s">
        <v>187</v>
      </c>
      <c r="B636" s="1280" t="s">
        <v>211</v>
      </c>
      <c r="C636" s="1281"/>
      <c r="D636" s="1282"/>
      <c r="E636" s="566" t="s">
        <v>52</v>
      </c>
      <c r="F636" s="566" t="s">
        <v>53</v>
      </c>
      <c r="G636" s="1219" t="s">
        <v>54</v>
      </c>
      <c r="H636" s="1220"/>
      <c r="I636" s="632" t="s">
        <v>188</v>
      </c>
      <c r="J636" s="632"/>
      <c r="K636" s="1209" t="s">
        <v>180</v>
      </c>
      <c r="L636" s="1210"/>
      <c r="M636" s="50"/>
      <c r="N636" s="50"/>
      <c r="O636" s="55"/>
      <c r="P636" s="9"/>
      <c r="Q636" s="34"/>
      <c r="R636" s="5"/>
      <c r="S636" s="35"/>
    </row>
    <row r="637" spans="1:19" ht="30" customHeight="1" x14ac:dyDescent="0.35">
      <c r="A637" s="186" t="s">
        <v>331</v>
      </c>
      <c r="B637" s="1212" t="s">
        <v>332</v>
      </c>
      <c r="C637" s="1213"/>
      <c r="D637" s="1214"/>
      <c r="E637" s="194">
        <v>164</v>
      </c>
      <c r="F637" s="186" t="s">
        <v>108</v>
      </c>
      <c r="G637" s="722">
        <v>5000</v>
      </c>
      <c r="H637" s="375" t="s">
        <v>214</v>
      </c>
      <c r="I637" s="186">
        <v>1.1599999999999999</v>
      </c>
      <c r="J637" s="186"/>
      <c r="K637" s="194">
        <f>+E637*G637*I637</f>
        <v>951199.99999999988</v>
      </c>
      <c r="L637" s="186" t="s">
        <v>40</v>
      </c>
      <c r="M637" s="50"/>
      <c r="N637" s="50"/>
      <c r="O637" s="5"/>
      <c r="P637" s="9"/>
      <c r="Q637" s="34"/>
      <c r="R637" s="5"/>
      <c r="S637" s="35"/>
    </row>
    <row r="638" spans="1:19" ht="30" customHeight="1" x14ac:dyDescent="0.35">
      <c r="A638" s="186" t="s">
        <v>333</v>
      </c>
      <c r="B638" s="1202" t="s">
        <v>334</v>
      </c>
      <c r="C638" s="1203"/>
      <c r="D638" s="1204"/>
      <c r="E638" s="194">
        <v>107000</v>
      </c>
      <c r="F638" s="186" t="s">
        <v>40</v>
      </c>
      <c r="G638" s="117"/>
      <c r="H638" s="375"/>
      <c r="I638" s="186">
        <v>1.04</v>
      </c>
      <c r="J638" s="186"/>
      <c r="K638" s="194">
        <f>+E638*I638</f>
        <v>111280</v>
      </c>
      <c r="L638" s="186" t="s">
        <v>40</v>
      </c>
      <c r="M638" s="96"/>
      <c r="N638" s="50"/>
      <c r="O638" s="5"/>
      <c r="P638" s="9"/>
      <c r="Q638" s="34"/>
      <c r="R638" s="5"/>
      <c r="S638" s="35"/>
    </row>
    <row r="639" spans="1:19" ht="30" customHeight="1" x14ac:dyDescent="0.35">
      <c r="A639" s="186" t="s">
        <v>333</v>
      </c>
      <c r="B639" s="1212" t="s">
        <v>335</v>
      </c>
      <c r="C639" s="1213"/>
      <c r="D639" s="1214"/>
      <c r="E639" s="194">
        <f>(27.25+55)/2</f>
        <v>41.125</v>
      </c>
      <c r="F639" s="186" t="s">
        <v>28</v>
      </c>
      <c r="G639" s="117">
        <v>100</v>
      </c>
      <c r="H639" s="375" t="s">
        <v>336</v>
      </c>
      <c r="I639" s="186">
        <v>1.04</v>
      </c>
      <c r="J639" s="186"/>
      <c r="K639" s="194">
        <f>E639*G639*I639</f>
        <v>4277</v>
      </c>
      <c r="L639" s="186"/>
      <c r="M639" s="97"/>
      <c r="N639" s="50"/>
      <c r="O639" s="384"/>
      <c r="P639" s="491"/>
      <c r="Q639" s="34"/>
      <c r="R639" s="5"/>
      <c r="S639" s="35"/>
    </row>
    <row r="640" spans="1:19" ht="30" customHeight="1" x14ac:dyDescent="0.35">
      <c r="A640" s="186" t="s">
        <v>249</v>
      </c>
      <c r="B640" s="1202" t="s">
        <v>337</v>
      </c>
      <c r="C640" s="1203"/>
      <c r="D640" s="1204"/>
      <c r="E640" s="194">
        <v>4.9000000000000004</v>
      </c>
      <c r="F640" s="186" t="s">
        <v>108</v>
      </c>
      <c r="G640" s="723">
        <v>5000</v>
      </c>
      <c r="H640" s="375" t="s">
        <v>214</v>
      </c>
      <c r="I640" s="186">
        <v>1.1599999999999999</v>
      </c>
      <c r="J640" s="186"/>
      <c r="K640" s="194">
        <f>+E640*G640*I640</f>
        <v>28419.999999999996</v>
      </c>
      <c r="L640" s="186" t="s">
        <v>40</v>
      </c>
      <c r="M640" s="50"/>
      <c r="N640" s="50"/>
      <c r="O640" s="384"/>
      <c r="P640" s="9"/>
      <c r="Q640" s="34"/>
      <c r="R640" s="5"/>
      <c r="S640" s="35"/>
    </row>
    <row r="641" spans="1:21" ht="30" customHeight="1" x14ac:dyDescent="0.35">
      <c r="A641" s="186"/>
      <c r="E641" s="194"/>
      <c r="F641" s="186"/>
      <c r="G641" s="186"/>
      <c r="H641" s="186"/>
      <c r="I641" s="186"/>
      <c r="J641" s="186" t="s">
        <v>251</v>
      </c>
      <c r="K641" s="194">
        <f>SUM(K637:K640)</f>
        <v>1095177</v>
      </c>
      <c r="L641" s="186" t="s">
        <v>40</v>
      </c>
      <c r="M641" s="50"/>
      <c r="N641" s="50"/>
    </row>
    <row r="642" spans="1:21" ht="30" customHeight="1" x14ac:dyDescent="0.35">
      <c r="A642" s="186"/>
      <c r="B642" s="1564"/>
      <c r="C642" s="1565"/>
      <c r="D642" s="1566"/>
      <c r="E642" s="194"/>
      <c r="F642" s="1215" t="s">
        <v>195</v>
      </c>
      <c r="G642" s="1273" t="s">
        <v>196</v>
      </c>
      <c r="H642" s="1273"/>
      <c r="I642" s="1273"/>
      <c r="J642" s="1273"/>
      <c r="K642" s="197">
        <v>1.05</v>
      </c>
      <c r="L642" s="186"/>
      <c r="M642" s="50"/>
      <c r="N642" s="50"/>
      <c r="O642" s="5"/>
      <c r="P642" s="9"/>
      <c r="Q642" s="34"/>
      <c r="R642" s="5"/>
      <c r="S642" s="35"/>
    </row>
    <row r="643" spans="1:21" ht="30" customHeight="1" x14ac:dyDescent="0.35">
      <c r="A643" s="186"/>
      <c r="B643" s="1567" t="s">
        <v>2840</v>
      </c>
      <c r="C643" s="1567"/>
      <c r="D643" s="1567"/>
      <c r="E643" s="194"/>
      <c r="F643" s="1216"/>
      <c r="G643" s="1268" t="s">
        <v>197</v>
      </c>
      <c r="H643" s="1268"/>
      <c r="I643" s="1268"/>
      <c r="J643" s="1268"/>
      <c r="K643" s="196">
        <v>1.06</v>
      </c>
      <c r="L643" s="186"/>
      <c r="M643" s="50"/>
      <c r="N643" s="96"/>
      <c r="O643" s="5"/>
      <c r="P643" s="9"/>
      <c r="Q643" s="34"/>
      <c r="R643" s="5"/>
      <c r="S643" s="35"/>
    </row>
    <row r="644" spans="1:21" ht="30" customHeight="1" x14ac:dyDescent="0.35">
      <c r="A644" s="186"/>
      <c r="B644" s="186"/>
      <c r="C644" s="503"/>
      <c r="D644" s="503"/>
      <c r="E644" s="503"/>
      <c r="F644" s="503"/>
      <c r="G644" s="503"/>
      <c r="H644" s="503"/>
      <c r="I644" s="503"/>
      <c r="J644" s="503" t="s">
        <v>37</v>
      </c>
      <c r="K644" s="193">
        <f>+K641*K642/K643</f>
        <v>1084845.141509434</v>
      </c>
      <c r="L644" s="186" t="s">
        <v>40</v>
      </c>
      <c r="M644" s="50"/>
      <c r="N644" s="50"/>
      <c r="O644" s="384"/>
      <c r="P644" s="9"/>
      <c r="Q644" s="34"/>
      <c r="R644" s="5"/>
      <c r="S644" s="35"/>
    </row>
    <row r="645" spans="1:21" ht="30" customHeight="1" x14ac:dyDescent="0.35">
      <c r="A645" s="186"/>
      <c r="B645" s="186"/>
      <c r="C645" s="503"/>
      <c r="D645" s="503"/>
      <c r="E645" s="503"/>
      <c r="F645" s="503"/>
      <c r="G645" s="1374" t="s">
        <v>257</v>
      </c>
      <c r="H645" s="1375"/>
      <c r="I645" s="1376"/>
      <c r="J645" s="560">
        <f>VLOOKUP(B635,'Mil Cost Premiums for PUCs'!$A$4:$R$285,18,FALSE)</f>
        <v>1.2281354183505979</v>
      </c>
      <c r="K645" s="193">
        <f>+K644*J645</f>
        <v>1332336.7417133022</v>
      </c>
      <c r="L645" s="186" t="s">
        <v>40</v>
      </c>
      <c r="M645" s="50"/>
      <c r="N645" s="50"/>
      <c r="O645" s="384"/>
      <c r="P645" s="9"/>
      <c r="Q645" s="34"/>
      <c r="R645" s="5"/>
      <c r="S645" s="35"/>
    </row>
    <row r="646" spans="1:21" ht="30" customHeight="1" x14ac:dyDescent="0.35">
      <c r="A646" s="569"/>
      <c r="B646" s="569"/>
      <c r="C646" s="510"/>
      <c r="D646" s="510"/>
      <c r="E646" s="510"/>
      <c r="F646" s="510"/>
      <c r="G646" s="1191" t="s">
        <v>2817</v>
      </c>
      <c r="H646" s="1192"/>
      <c r="I646" s="1193"/>
      <c r="J646" s="570">
        <v>1.1214</v>
      </c>
      <c r="K646" s="285">
        <f>+K645*J646</f>
        <v>1494082.4221572971</v>
      </c>
      <c r="L646" s="186" t="s">
        <v>40</v>
      </c>
      <c r="M646" s="50"/>
      <c r="N646" s="50"/>
      <c r="O646" s="384"/>
      <c r="P646" s="9"/>
      <c r="Q646" s="34"/>
      <c r="R646" s="5"/>
      <c r="S646" s="35"/>
    </row>
    <row r="647" spans="1:21" ht="30" customHeight="1" thickBot="1" x14ac:dyDescent="0.4">
      <c r="A647" s="569"/>
      <c r="B647" s="569"/>
      <c r="C647" s="510"/>
      <c r="D647" s="510"/>
      <c r="E647" s="510"/>
      <c r="F647" s="510"/>
      <c r="G647" s="1191" t="s">
        <v>3000</v>
      </c>
      <c r="H647" s="1192"/>
      <c r="I647" s="1193"/>
      <c r="J647" s="570">
        <v>1.0438745311870361</v>
      </c>
      <c r="K647" s="285">
        <f>+K646*J647</f>
        <v>1559634.5879842399</v>
      </c>
      <c r="L647" s="186" t="s">
        <v>40</v>
      </c>
      <c r="M647" s="50"/>
      <c r="N647" s="50"/>
      <c r="O647" s="5"/>
      <c r="P647" s="9"/>
      <c r="Q647" s="34"/>
      <c r="R647" s="5"/>
      <c r="S647" s="35"/>
    </row>
    <row r="648" spans="1:21" ht="30" customHeight="1" thickBot="1" x14ac:dyDescent="0.4">
      <c r="A648" s="1199"/>
      <c r="B648" s="1200"/>
      <c r="C648" s="1200"/>
      <c r="D648" s="1200"/>
      <c r="E648" s="1200"/>
      <c r="F648" s="1200"/>
      <c r="G648" s="1200"/>
      <c r="H648" s="1200"/>
      <c r="I648" s="1200"/>
      <c r="J648" s="1200"/>
      <c r="K648" s="1200"/>
      <c r="L648" s="1201"/>
      <c r="M648" s="50"/>
      <c r="N648" s="50"/>
      <c r="O648" s="5"/>
      <c r="P648" s="9"/>
      <c r="Q648" s="34"/>
      <c r="R648" s="5"/>
      <c r="S648" s="35"/>
    </row>
    <row r="649" spans="1:21" ht="30" customHeight="1" x14ac:dyDescent="0.35">
      <c r="A649" s="388" t="s">
        <v>1</v>
      </c>
      <c r="B649" s="389">
        <v>1493</v>
      </c>
      <c r="C649" s="1205" t="s">
        <v>338</v>
      </c>
      <c r="D649" s="1206"/>
      <c r="E649" s="392" t="s">
        <v>3</v>
      </c>
      <c r="F649" s="393" t="s">
        <v>40</v>
      </c>
      <c r="G649" s="529" t="s">
        <v>2</v>
      </c>
      <c r="H649" s="562">
        <v>1</v>
      </c>
      <c r="I649" s="392" t="s">
        <v>5</v>
      </c>
      <c r="J649" s="1207" t="s">
        <v>186</v>
      </c>
      <c r="K649" s="1207"/>
      <c r="L649" s="1208"/>
      <c r="M649" s="97"/>
      <c r="N649" s="50"/>
      <c r="O649" s="5"/>
      <c r="P649" s="9"/>
      <c r="Q649" s="34"/>
      <c r="R649" s="5"/>
      <c r="S649" s="35"/>
    </row>
    <row r="650" spans="1:21" ht="30" customHeight="1" x14ac:dyDescent="0.35">
      <c r="A650" s="494" t="s">
        <v>187</v>
      </c>
      <c r="B650" s="1280" t="s">
        <v>211</v>
      </c>
      <c r="C650" s="1281"/>
      <c r="D650" s="1282"/>
      <c r="E650" s="566" t="s">
        <v>52</v>
      </c>
      <c r="F650" s="566" t="s">
        <v>53</v>
      </c>
      <c r="G650" s="1219" t="s">
        <v>54</v>
      </c>
      <c r="H650" s="1220"/>
      <c r="I650" s="632" t="s">
        <v>188</v>
      </c>
      <c r="J650" s="632"/>
      <c r="K650" s="1209" t="s">
        <v>180</v>
      </c>
      <c r="L650" s="1210"/>
      <c r="M650" s="50"/>
      <c r="N650" s="50"/>
      <c r="T650" s="10"/>
      <c r="U650" s="10"/>
    </row>
    <row r="651" spans="1:21" ht="30" customHeight="1" x14ac:dyDescent="0.35">
      <c r="A651" s="186" t="s">
        <v>339</v>
      </c>
      <c r="B651" s="1212" t="s">
        <v>340</v>
      </c>
      <c r="C651" s="1213"/>
      <c r="D651" s="1214"/>
      <c r="E651" s="194">
        <v>23.65</v>
      </c>
      <c r="F651" s="186" t="s">
        <v>108</v>
      </c>
      <c r="G651" s="722">
        <v>1250</v>
      </c>
      <c r="H651" s="375" t="s">
        <v>275</v>
      </c>
      <c r="I651" s="204">
        <v>1.1599999999999999</v>
      </c>
      <c r="J651" s="186"/>
      <c r="K651" s="194">
        <f>+E651*I651*G651*4</f>
        <v>137170</v>
      </c>
      <c r="L651" s="186" t="s">
        <v>40</v>
      </c>
      <c r="M651" s="50"/>
      <c r="N651" s="9"/>
      <c r="T651" s="53"/>
      <c r="U651" s="53"/>
    </row>
    <row r="652" spans="1:21" s="396" customFormat="1" ht="30" customHeight="1" x14ac:dyDescent="0.35">
      <c r="A652" s="186" t="s">
        <v>341</v>
      </c>
      <c r="B652" s="1202" t="s">
        <v>342</v>
      </c>
      <c r="C652" s="1203"/>
      <c r="D652" s="1204"/>
      <c r="E652" s="194">
        <f>+(151+180)/2</f>
        <v>165.5</v>
      </c>
      <c r="F652" s="186" t="s">
        <v>28</v>
      </c>
      <c r="G652" s="722">
        <v>1000</v>
      </c>
      <c r="H652" s="375" t="s">
        <v>343</v>
      </c>
      <c r="I652" s="186">
        <v>1.23</v>
      </c>
      <c r="J652" s="186"/>
      <c r="K652" s="194">
        <f>+E652*I652*G652</f>
        <v>203565</v>
      </c>
      <c r="L652" s="186" t="s">
        <v>40</v>
      </c>
      <c r="M652" s="50"/>
      <c r="N652" s="96"/>
      <c r="O652" s="572"/>
      <c r="P652" s="384"/>
    </row>
    <row r="653" spans="1:21" ht="30" customHeight="1" x14ac:dyDescent="0.35">
      <c r="A653" s="186" t="s">
        <v>341</v>
      </c>
      <c r="B653" s="1202" t="s">
        <v>344</v>
      </c>
      <c r="C653" s="1203"/>
      <c r="D653" s="1204"/>
      <c r="E653" s="194">
        <f>+(47500+58250)/2</f>
        <v>52875</v>
      </c>
      <c r="F653" s="186" t="s">
        <v>40</v>
      </c>
      <c r="G653" s="722">
        <v>2</v>
      </c>
      <c r="H653" s="375" t="s">
        <v>31</v>
      </c>
      <c r="I653" s="186">
        <v>1.23</v>
      </c>
      <c r="J653" s="186"/>
      <c r="K653" s="194">
        <f>+E653*I653*G653</f>
        <v>130072.5</v>
      </c>
      <c r="L653" s="186" t="s">
        <v>40</v>
      </c>
      <c r="M653" s="50"/>
      <c r="N653" s="50"/>
    </row>
    <row r="654" spans="1:21" ht="30" customHeight="1" x14ac:dyDescent="0.35">
      <c r="A654" s="186" t="s">
        <v>345</v>
      </c>
      <c r="B654" s="1212" t="s">
        <v>346</v>
      </c>
      <c r="C654" s="1213"/>
      <c r="D654" s="1214"/>
      <c r="E654" s="194">
        <v>20.25</v>
      </c>
      <c r="F654" s="186" t="s">
        <v>28</v>
      </c>
      <c r="G654" s="722">
        <v>6000</v>
      </c>
      <c r="H654" s="375" t="s">
        <v>275</v>
      </c>
      <c r="I654" s="186">
        <v>1.1200000000000001</v>
      </c>
      <c r="J654" s="186"/>
      <c r="K654" s="194">
        <f>+E654*I654*G654</f>
        <v>136080.00000000003</v>
      </c>
      <c r="L654" s="186" t="s">
        <v>40</v>
      </c>
      <c r="M654" s="96"/>
      <c r="N654" s="50"/>
    </row>
    <row r="655" spans="1:21" s="735" customFormat="1" ht="30" customHeight="1" x14ac:dyDescent="0.35">
      <c r="A655" s="186" t="s">
        <v>347</v>
      </c>
      <c r="B655" s="1274" t="s">
        <v>348</v>
      </c>
      <c r="C655" s="1275"/>
      <c r="D655" s="1276"/>
      <c r="E655" s="194">
        <f>(5.52+7.75)/2</f>
        <v>6.6349999999999998</v>
      </c>
      <c r="F655" s="186" t="s">
        <v>16</v>
      </c>
      <c r="G655" s="722">
        <v>3216</v>
      </c>
      <c r="H655" s="375" t="s">
        <v>349</v>
      </c>
      <c r="I655" s="186">
        <v>1.1200000000000001</v>
      </c>
      <c r="J655" s="186"/>
      <c r="K655" s="194">
        <f>E655*I655*G655/9</f>
        <v>2655.4154666666668</v>
      </c>
      <c r="L655" s="186" t="s">
        <v>40</v>
      </c>
      <c r="M655" s="50"/>
    </row>
    <row r="656" spans="1:21" s="396" customFormat="1" ht="30" customHeight="1" x14ac:dyDescent="0.35">
      <c r="A656" s="186"/>
      <c r="B656" s="725"/>
      <c r="C656" s="726"/>
      <c r="D656" s="727"/>
      <c r="E656" s="194"/>
      <c r="F656" s="186"/>
      <c r="G656" s="1212"/>
      <c r="H656" s="1214"/>
      <c r="I656" s="186"/>
      <c r="J656" s="186" t="s">
        <v>251</v>
      </c>
      <c r="K656" s="194">
        <f>SUM(K652:K655)</f>
        <v>472372.91546666669</v>
      </c>
      <c r="L656" s="186" t="s">
        <v>40</v>
      </c>
      <c r="M656" s="50"/>
      <c r="N656" s="50"/>
      <c r="O656" s="572"/>
      <c r="P656" s="384"/>
    </row>
    <row r="657" spans="1:16" s="396" customFormat="1" ht="30" customHeight="1" x14ac:dyDescent="0.35">
      <c r="A657" s="186"/>
      <c r="B657" s="1212"/>
      <c r="C657" s="1213"/>
      <c r="D657" s="1214"/>
      <c r="E657" s="194"/>
      <c r="F657" s="1215" t="s">
        <v>195</v>
      </c>
      <c r="G657" s="1273" t="s">
        <v>196</v>
      </c>
      <c r="H657" s="1273"/>
      <c r="I657" s="1273"/>
      <c r="J657" s="1273"/>
      <c r="K657" s="197">
        <v>1.03</v>
      </c>
      <c r="L657" s="186"/>
      <c r="M657" s="50"/>
      <c r="N657" s="50"/>
      <c r="O657" s="572"/>
      <c r="P657" s="384"/>
    </row>
    <row r="658" spans="1:16" s="396" customFormat="1" ht="30" customHeight="1" x14ac:dyDescent="0.35">
      <c r="A658" s="186"/>
      <c r="B658" s="567"/>
      <c r="C658" s="567"/>
      <c r="D658" s="567"/>
      <c r="E658" s="194"/>
      <c r="F658" s="1216"/>
      <c r="G658" s="1268" t="s">
        <v>197</v>
      </c>
      <c r="H658" s="1268"/>
      <c r="I658" s="1268"/>
      <c r="J658" s="1268"/>
      <c r="K658" s="196">
        <v>1.06</v>
      </c>
      <c r="L658" s="186"/>
      <c r="M658" s="50"/>
      <c r="N658" s="96"/>
      <c r="O658" s="572"/>
      <c r="P658" s="384"/>
    </row>
    <row r="659" spans="1:16" ht="30" customHeight="1" x14ac:dyDescent="0.35">
      <c r="A659" s="186"/>
      <c r="B659" s="186"/>
      <c r="C659" s="503"/>
      <c r="D659" s="503"/>
      <c r="E659" s="503"/>
      <c r="F659" s="503"/>
      <c r="G659" s="503"/>
      <c r="H659" s="503"/>
      <c r="I659" s="503"/>
      <c r="J659" s="186" t="s">
        <v>37</v>
      </c>
      <c r="K659" s="193">
        <f>+K656*K657/K658</f>
        <v>459003.87068930821</v>
      </c>
      <c r="L659" s="186" t="s">
        <v>40</v>
      </c>
      <c r="M659" s="50"/>
      <c r="N659" s="50"/>
    </row>
    <row r="660" spans="1:16" ht="30" customHeight="1" x14ac:dyDescent="0.35">
      <c r="A660" s="186"/>
      <c r="B660" s="186"/>
      <c r="C660" s="503"/>
      <c r="D660" s="503"/>
      <c r="E660" s="503"/>
      <c r="F660" s="503"/>
      <c r="G660" s="1374" t="s">
        <v>257</v>
      </c>
      <c r="H660" s="1375"/>
      <c r="I660" s="1376"/>
      <c r="J660" s="560">
        <f>VLOOKUP(B649,'Mil Cost Premiums for PUCs'!$A$4:$R$285,18,FALSE)</f>
        <v>1.1199953840399997</v>
      </c>
      <c r="K660" s="193">
        <f>+K659*J660</f>
        <v>514082.21642851812</v>
      </c>
      <c r="L660" s="186" t="s">
        <v>40</v>
      </c>
      <c r="M660" s="50"/>
      <c r="N660" s="50"/>
      <c r="P660" s="9"/>
    </row>
    <row r="661" spans="1:16" ht="30" customHeight="1" x14ac:dyDescent="0.35">
      <c r="A661" s="569"/>
      <c r="B661" s="569"/>
      <c r="C661" s="510"/>
      <c r="D661" s="510"/>
      <c r="E661" s="510"/>
      <c r="F661" s="510"/>
      <c r="G661" s="1191" t="s">
        <v>2817</v>
      </c>
      <c r="H661" s="1192"/>
      <c r="I661" s="1193"/>
      <c r="J661" s="570">
        <v>1.1214</v>
      </c>
      <c r="K661" s="285">
        <f>+K660*J661</f>
        <v>576491.79750294017</v>
      </c>
      <c r="L661" s="186" t="s">
        <v>40</v>
      </c>
      <c r="M661" s="50"/>
      <c r="N661" s="50"/>
      <c r="P661" s="9"/>
    </row>
    <row r="662" spans="1:16" ht="30" customHeight="1" thickBot="1" x14ac:dyDescent="0.4">
      <c r="A662" s="569"/>
      <c r="B662" s="569"/>
      <c r="C662" s="510"/>
      <c r="D662" s="510"/>
      <c r="E662" s="510"/>
      <c r="F662" s="510"/>
      <c r="G662" s="1191" t="s">
        <v>3000</v>
      </c>
      <c r="H662" s="1192"/>
      <c r="I662" s="1193"/>
      <c r="J662" s="570">
        <v>1.0438745311870361</v>
      </c>
      <c r="K662" s="285">
        <f>+K661*J662</f>
        <v>601785.10485155345</v>
      </c>
      <c r="L662" s="186" t="s">
        <v>40</v>
      </c>
      <c r="M662" s="50"/>
      <c r="N662" s="50"/>
    </row>
    <row r="663" spans="1:16" ht="30" customHeight="1" thickBot="1" x14ac:dyDescent="0.4">
      <c r="A663" s="1199"/>
      <c r="B663" s="1200"/>
      <c r="C663" s="1200"/>
      <c r="D663" s="1200"/>
      <c r="E663" s="1200"/>
      <c r="F663" s="1200"/>
      <c r="G663" s="1200"/>
      <c r="H663" s="1200"/>
      <c r="I663" s="1200"/>
      <c r="J663" s="1200"/>
      <c r="K663" s="1200"/>
      <c r="L663" s="1201"/>
      <c r="M663" s="50"/>
      <c r="N663" s="50"/>
      <c r="P663" s="9"/>
    </row>
    <row r="664" spans="1:16" ht="30" customHeight="1" x14ac:dyDescent="0.35">
      <c r="A664" s="388" t="s">
        <v>1</v>
      </c>
      <c r="B664" s="389">
        <v>1494</v>
      </c>
      <c r="C664" s="1290" t="s">
        <v>350</v>
      </c>
      <c r="D664" s="1291"/>
      <c r="E664" s="392" t="s">
        <v>3</v>
      </c>
      <c r="F664" s="393" t="s">
        <v>40</v>
      </c>
      <c r="G664" s="529" t="s">
        <v>2</v>
      </c>
      <c r="H664" s="562">
        <v>1</v>
      </c>
      <c r="I664" s="392" t="s">
        <v>5</v>
      </c>
      <c r="J664" s="1207" t="s">
        <v>2538</v>
      </c>
      <c r="K664" s="1207"/>
      <c r="L664" s="1208"/>
      <c r="M664" s="96"/>
      <c r="N664" s="50"/>
    </row>
    <row r="665" spans="1:16" ht="60" customHeight="1" x14ac:dyDescent="0.35">
      <c r="A665" s="185" t="s">
        <v>177</v>
      </c>
      <c r="B665" s="1272" t="s">
        <v>7</v>
      </c>
      <c r="C665" s="1272"/>
      <c r="D665" s="1272"/>
      <c r="E665" s="397" t="s">
        <v>52</v>
      </c>
      <c r="F665" s="704" t="s">
        <v>9</v>
      </c>
      <c r="G665" s="1292" t="s">
        <v>54</v>
      </c>
      <c r="H665" s="1293"/>
      <c r="I665" s="1221" t="s">
        <v>351</v>
      </c>
      <c r="J665" s="1222"/>
      <c r="K665" s="1209" t="s">
        <v>180</v>
      </c>
      <c r="L665" s="1210"/>
      <c r="M665" s="97"/>
      <c r="N665" s="50"/>
      <c r="P665" s="9"/>
    </row>
    <row r="666" spans="1:16" ht="45" customHeight="1" x14ac:dyDescent="0.35">
      <c r="A666" s="186">
        <v>93410</v>
      </c>
      <c r="B666" s="1212" t="s">
        <v>2544</v>
      </c>
      <c r="C666" s="1213"/>
      <c r="D666" s="1214"/>
      <c r="E666" s="194">
        <v>11.04</v>
      </c>
      <c r="F666" s="186" t="s">
        <v>16</v>
      </c>
      <c r="G666" s="401">
        <v>3</v>
      </c>
      <c r="H666" s="401" t="s">
        <v>352</v>
      </c>
      <c r="I666" s="1332">
        <f>+'FY2024 MILCON Inflation Table'!F22</f>
        <v>0.95834826759383673</v>
      </c>
      <c r="J666" s="1333"/>
      <c r="K666" s="199">
        <f>+E666/G666*I666</f>
        <v>3.5267216247453188</v>
      </c>
      <c r="L666" s="401" t="s">
        <v>4</v>
      </c>
      <c r="M666" s="96"/>
      <c r="N666" s="50"/>
      <c r="P666" s="9"/>
    </row>
    <row r="667" spans="1:16" ht="30" customHeight="1" x14ac:dyDescent="0.35">
      <c r="A667" s="186">
        <v>85110</v>
      </c>
      <c r="B667" s="1264" t="s">
        <v>2547</v>
      </c>
      <c r="C667" s="1264"/>
      <c r="D667" s="1264"/>
      <c r="E667" s="194">
        <v>18.55</v>
      </c>
      <c r="F667" s="186" t="s">
        <v>4</v>
      </c>
      <c r="G667" s="532"/>
      <c r="H667" s="532"/>
      <c r="I667" s="1332">
        <f>+I666</f>
        <v>0.95834826759383673</v>
      </c>
      <c r="J667" s="1333"/>
      <c r="K667" s="199">
        <f>+E667*I667</f>
        <v>17.777360363865672</v>
      </c>
      <c r="L667" s="401" t="s">
        <v>4</v>
      </c>
      <c r="M667" s="50"/>
      <c r="N667" s="96"/>
      <c r="P667" s="9"/>
    </row>
    <row r="668" spans="1:16" ht="30" customHeight="1" x14ac:dyDescent="0.35">
      <c r="A668" s="186">
        <v>85110</v>
      </c>
      <c r="B668" s="1212" t="s">
        <v>2546</v>
      </c>
      <c r="C668" s="1213"/>
      <c r="D668" s="1214"/>
      <c r="E668" s="194">
        <v>78.5</v>
      </c>
      <c r="F668" s="186" t="s">
        <v>4</v>
      </c>
      <c r="G668" s="532"/>
      <c r="H668" s="532"/>
      <c r="I668" s="1332">
        <f>+I666</f>
        <v>0.95834826759383673</v>
      </c>
      <c r="J668" s="1333"/>
      <c r="K668" s="199">
        <f>+E668*I668</f>
        <v>75.230339006116182</v>
      </c>
      <c r="L668" s="401" t="s">
        <v>4</v>
      </c>
      <c r="M668" s="50"/>
      <c r="N668" s="50"/>
      <c r="P668" s="9"/>
    </row>
    <row r="669" spans="1:16" ht="30" customHeight="1" x14ac:dyDescent="0.35">
      <c r="A669" s="186"/>
      <c r="B669" s="396"/>
      <c r="C669" s="374"/>
      <c r="D669" s="374"/>
      <c r="E669" s="129"/>
      <c r="F669" s="728"/>
      <c r="G669" s="650"/>
      <c r="H669" s="729"/>
      <c r="I669" s="730"/>
      <c r="J669" s="730" t="s">
        <v>223</v>
      </c>
      <c r="K669" s="199">
        <f>SUM(K666:K668)</f>
        <v>96.534420994727171</v>
      </c>
      <c r="L669" s="401" t="s">
        <v>4</v>
      </c>
      <c r="M669" s="50"/>
      <c r="N669" s="50"/>
      <c r="P669" s="9"/>
    </row>
    <row r="670" spans="1:16" ht="30" customHeight="1" x14ac:dyDescent="0.35">
      <c r="A670" s="186"/>
      <c r="B670" s="1264" t="s">
        <v>2545</v>
      </c>
      <c r="C670" s="1264"/>
      <c r="D670" s="1264"/>
      <c r="E670" s="731">
        <f>(100*69)/9</f>
        <v>766.66666666666663</v>
      </c>
      <c r="F670" s="186" t="s">
        <v>4</v>
      </c>
      <c r="G670" s="650"/>
      <c r="H670" s="729"/>
      <c r="I670" s="732"/>
      <c r="J670" s="732"/>
      <c r="K670" s="199">
        <f>+K669*E670</f>
        <v>74009.722762624166</v>
      </c>
      <c r="L670" s="401" t="s">
        <v>40</v>
      </c>
      <c r="M670" s="50"/>
      <c r="N670" s="50"/>
      <c r="P670" s="9"/>
    </row>
    <row r="671" spans="1:16" ht="30" customHeight="1" thickBot="1" x14ac:dyDescent="0.4">
      <c r="A671" s="186"/>
      <c r="B671" s="1350" t="s">
        <v>353</v>
      </c>
      <c r="C671" s="1351"/>
      <c r="D671" s="1351"/>
      <c r="E671" s="1351"/>
      <c r="F671" s="544"/>
      <c r="G671" s="544"/>
      <c r="H671" s="545"/>
      <c r="I671" s="503"/>
      <c r="J671" s="494" t="s">
        <v>37</v>
      </c>
      <c r="K671" s="199">
        <f>+K670</f>
        <v>74009.722762624166</v>
      </c>
      <c r="L671" s="401" t="s">
        <v>40</v>
      </c>
      <c r="M671" s="96"/>
      <c r="N671" s="50"/>
      <c r="P671" s="9"/>
    </row>
    <row r="672" spans="1:16" ht="30" customHeight="1" thickBot="1" x14ac:dyDescent="0.4">
      <c r="A672" s="1199"/>
      <c r="B672" s="1200"/>
      <c r="C672" s="1200"/>
      <c r="D672" s="1200"/>
      <c r="E672" s="1200"/>
      <c r="F672" s="1200"/>
      <c r="G672" s="1200"/>
      <c r="H672" s="1200"/>
      <c r="I672" s="1200"/>
      <c r="J672" s="1200"/>
      <c r="K672" s="1200"/>
      <c r="L672" s="1201"/>
      <c r="M672" s="50"/>
      <c r="N672" s="50"/>
      <c r="P672" s="9"/>
    </row>
    <row r="673" spans="1:19" ht="75" customHeight="1" x14ac:dyDescent="0.35">
      <c r="A673" s="388" t="s">
        <v>1</v>
      </c>
      <c r="B673" s="389">
        <v>1495</v>
      </c>
      <c r="C673" s="1205" t="s">
        <v>354</v>
      </c>
      <c r="D673" s="1206"/>
      <c r="E673" s="392" t="s">
        <v>3</v>
      </c>
      <c r="F673" s="393" t="s">
        <v>40</v>
      </c>
      <c r="G673" s="520" t="s">
        <v>2</v>
      </c>
      <c r="H673" s="135">
        <v>1</v>
      </c>
      <c r="I673" s="392" t="s">
        <v>5</v>
      </c>
      <c r="J673" s="1207" t="s">
        <v>186</v>
      </c>
      <c r="K673" s="1207"/>
      <c r="L673" s="1208"/>
      <c r="M673" s="97"/>
      <c r="N673" s="50"/>
      <c r="P673" s="9"/>
    </row>
    <row r="674" spans="1:19" ht="60" customHeight="1" x14ac:dyDescent="0.35">
      <c r="A674" s="494" t="s">
        <v>187</v>
      </c>
      <c r="B674" s="1280" t="s">
        <v>211</v>
      </c>
      <c r="C674" s="1281"/>
      <c r="D674" s="1282"/>
      <c r="E674" s="566" t="s">
        <v>52</v>
      </c>
      <c r="F674" s="566" t="s">
        <v>53</v>
      </c>
      <c r="G674" s="1219" t="s">
        <v>54</v>
      </c>
      <c r="H674" s="1220"/>
      <c r="I674" s="185" t="s">
        <v>188</v>
      </c>
      <c r="J674" s="185"/>
      <c r="K674" s="1209" t="s">
        <v>180</v>
      </c>
      <c r="L674" s="1210"/>
      <c r="M674" s="96"/>
      <c r="N674" s="50"/>
      <c r="P674" s="9"/>
    </row>
    <row r="675" spans="1:19" ht="30" customHeight="1" x14ac:dyDescent="0.35">
      <c r="A675" s="186" t="s">
        <v>347</v>
      </c>
      <c r="B675" s="1212" t="s">
        <v>355</v>
      </c>
      <c r="C675" s="1213"/>
      <c r="D675" s="1214"/>
      <c r="E675" s="733">
        <v>33.5</v>
      </c>
      <c r="F675" s="422" t="s">
        <v>16</v>
      </c>
      <c r="G675" s="707">
        <v>177</v>
      </c>
      <c r="H675" s="708" t="s">
        <v>356</v>
      </c>
      <c r="I675" s="186">
        <v>1.1200000000000001</v>
      </c>
      <c r="J675" s="186"/>
      <c r="K675" s="734">
        <f>+E675*G675*I675</f>
        <v>6641.0400000000009</v>
      </c>
      <c r="L675" s="422" t="s">
        <v>40</v>
      </c>
      <c r="M675" s="50"/>
      <c r="N675" s="50"/>
      <c r="P675" s="9"/>
    </row>
    <row r="676" spans="1:19" ht="30" customHeight="1" x14ac:dyDescent="0.35">
      <c r="A676" s="186" t="s">
        <v>347</v>
      </c>
      <c r="B676" s="1202" t="s">
        <v>357</v>
      </c>
      <c r="C676" s="1203"/>
      <c r="D676" s="1204"/>
      <c r="E676" s="733">
        <v>13.1</v>
      </c>
      <c r="F676" s="422" t="s">
        <v>16</v>
      </c>
      <c r="G676" s="707">
        <v>177</v>
      </c>
      <c r="H676" s="708" t="s">
        <v>356</v>
      </c>
      <c r="I676" s="186">
        <v>1.1200000000000001</v>
      </c>
      <c r="J676" s="186"/>
      <c r="K676" s="734">
        <f>+E676*G676*I676</f>
        <v>2596.944</v>
      </c>
      <c r="L676" s="422" t="s">
        <v>40</v>
      </c>
      <c r="M676" s="50"/>
      <c r="N676" s="96"/>
      <c r="P676" s="9"/>
    </row>
    <row r="677" spans="1:19" ht="30" customHeight="1" x14ac:dyDescent="0.35">
      <c r="A677" s="186" t="s">
        <v>347</v>
      </c>
      <c r="B677" s="1202" t="s">
        <v>358</v>
      </c>
      <c r="C677" s="1203"/>
      <c r="D677" s="1204"/>
      <c r="E677" s="7">
        <f>+(92+279)/2</f>
        <v>185.5</v>
      </c>
      <c r="F677" s="422" t="s">
        <v>4</v>
      </c>
      <c r="G677" s="707">
        <v>133</v>
      </c>
      <c r="H677" s="708" t="s">
        <v>359</v>
      </c>
      <c r="I677" s="186">
        <v>1.1200000000000001</v>
      </c>
      <c r="J677" s="186"/>
      <c r="K677" s="734">
        <f>+E677*G677*I677</f>
        <v>27632.080000000002</v>
      </c>
      <c r="L677" s="422" t="s">
        <v>40</v>
      </c>
      <c r="M677" s="50"/>
      <c r="N677" s="50"/>
      <c r="P677" s="9"/>
    </row>
    <row r="678" spans="1:19" ht="30" customHeight="1" x14ac:dyDescent="0.35">
      <c r="A678" s="186" t="s">
        <v>347</v>
      </c>
      <c r="B678" s="503" t="s">
        <v>360</v>
      </c>
      <c r="C678" s="564"/>
      <c r="D678" s="565"/>
      <c r="E678" s="7">
        <f>+(0.69+5.12)/2</f>
        <v>2.9050000000000002</v>
      </c>
      <c r="F678" s="422" t="s">
        <v>4</v>
      </c>
      <c r="G678" s="707">
        <v>133</v>
      </c>
      <c r="H678" s="708" t="s">
        <v>359</v>
      </c>
      <c r="I678" s="186">
        <v>1.1200000000000001</v>
      </c>
      <c r="J678" s="186"/>
      <c r="K678" s="734">
        <f>+E678*G678*I678</f>
        <v>432.72880000000004</v>
      </c>
      <c r="L678" s="422" t="s">
        <v>40</v>
      </c>
      <c r="M678" s="50"/>
      <c r="N678" s="50"/>
      <c r="P678" s="9"/>
    </row>
    <row r="679" spans="1:19" ht="30" customHeight="1" x14ac:dyDescent="0.35">
      <c r="A679" s="186"/>
      <c r="B679" s="1264" t="s">
        <v>361</v>
      </c>
      <c r="C679" s="1264"/>
      <c r="D679" s="1264"/>
      <c r="E679" s="736"/>
      <c r="F679" s="422"/>
      <c r="G679" s="707"/>
      <c r="H679" s="708"/>
      <c r="I679" s="186"/>
      <c r="J679" s="186"/>
      <c r="K679" s="734"/>
      <c r="L679" s="422"/>
      <c r="M679" s="96"/>
      <c r="N679" s="50"/>
      <c r="P679" s="9"/>
    </row>
    <row r="680" spans="1:19" ht="30" customHeight="1" x14ac:dyDescent="0.35">
      <c r="A680" s="503"/>
      <c r="B680" s="737"/>
      <c r="C680" s="738"/>
      <c r="D680" s="738"/>
      <c r="E680" s="200"/>
      <c r="F680" s="186"/>
      <c r="G680" s="186"/>
      <c r="H680" s="186"/>
      <c r="I680" s="186"/>
      <c r="J680" s="186" t="s">
        <v>251</v>
      </c>
      <c r="K680" s="201">
        <f>SUM(K675:K679)</f>
        <v>37302.792799999996</v>
      </c>
      <c r="L680" s="186" t="s">
        <v>40</v>
      </c>
      <c r="M680" s="50"/>
      <c r="N680" s="50"/>
      <c r="P680" s="9"/>
    </row>
    <row r="681" spans="1:19" ht="30" customHeight="1" x14ac:dyDescent="0.35">
      <c r="A681" s="186"/>
      <c r="B681" s="567"/>
      <c r="C681" s="567"/>
      <c r="D681" s="567"/>
      <c r="E681" s="194"/>
      <c r="F681" s="1215" t="s">
        <v>195</v>
      </c>
      <c r="G681" s="1273" t="s">
        <v>196</v>
      </c>
      <c r="H681" s="1273"/>
      <c r="I681" s="1273"/>
      <c r="J681" s="1273"/>
      <c r="K681" s="197">
        <v>1.06</v>
      </c>
      <c r="L681" s="186"/>
      <c r="M681" s="50"/>
      <c r="N681" s="50"/>
      <c r="P681" s="9"/>
    </row>
    <row r="682" spans="1:19" ht="30" customHeight="1" x14ac:dyDescent="0.35">
      <c r="A682" s="186"/>
      <c r="B682" s="567"/>
      <c r="C682" s="567"/>
      <c r="D682" s="567"/>
      <c r="E682" s="194"/>
      <c r="F682" s="1216"/>
      <c r="G682" s="1268" t="s">
        <v>197</v>
      </c>
      <c r="H682" s="1268"/>
      <c r="I682" s="1268"/>
      <c r="J682" s="1268"/>
      <c r="K682" s="196">
        <v>1.06</v>
      </c>
      <c r="L682" s="186"/>
      <c r="M682" s="50"/>
      <c r="N682" s="50"/>
      <c r="P682" s="9"/>
    </row>
    <row r="683" spans="1:19" ht="30" customHeight="1" x14ac:dyDescent="0.35">
      <c r="A683" s="503"/>
      <c r="B683" s="186"/>
      <c r="C683" s="503"/>
      <c r="D683" s="503"/>
      <c r="E683" s="503"/>
      <c r="F683" s="503"/>
      <c r="G683" s="503"/>
      <c r="H683" s="503"/>
      <c r="I683" s="503"/>
      <c r="J683" s="186" t="s">
        <v>37</v>
      </c>
      <c r="K683" s="202">
        <f>+K680*K681/K682</f>
        <v>37302.792799999996</v>
      </c>
      <c r="L683" s="186" t="s">
        <v>40</v>
      </c>
      <c r="M683" s="50"/>
      <c r="N683" s="50"/>
      <c r="P683" s="9"/>
    </row>
    <row r="684" spans="1:19" ht="30" customHeight="1" x14ac:dyDescent="0.35">
      <c r="A684" s="503"/>
      <c r="B684" s="186"/>
      <c r="C684" s="503"/>
      <c r="D684" s="503"/>
      <c r="E684" s="503"/>
      <c r="F684" s="503"/>
      <c r="G684" s="1374" t="s">
        <v>257</v>
      </c>
      <c r="H684" s="1375"/>
      <c r="I684" s="1376"/>
      <c r="J684" s="560">
        <f>VLOOKUP(B673,'Mil Cost Premiums for PUCs'!$A$4:$R$285,18,FALSE)</f>
        <v>1.0209999999999999</v>
      </c>
      <c r="K684" s="202">
        <f>+K683*J684</f>
        <v>38086.151448799996</v>
      </c>
      <c r="L684" s="186" t="s">
        <v>40</v>
      </c>
      <c r="M684" s="50"/>
      <c r="N684" s="50"/>
      <c r="P684" s="9"/>
    </row>
    <row r="685" spans="1:19" ht="30" customHeight="1" x14ac:dyDescent="0.35">
      <c r="A685" s="569"/>
      <c r="B685" s="569"/>
      <c r="C685" s="510"/>
      <c r="D685" s="510"/>
      <c r="E685" s="510"/>
      <c r="F685" s="510"/>
      <c r="G685" s="1191" t="s">
        <v>2817</v>
      </c>
      <c r="H685" s="1192"/>
      <c r="I685" s="1193"/>
      <c r="J685" s="570">
        <v>1.1214</v>
      </c>
      <c r="K685" s="285">
        <f>+K684*J685</f>
        <v>42709.810234684315</v>
      </c>
      <c r="L685" s="186" t="s">
        <v>40</v>
      </c>
      <c r="M685" s="50"/>
      <c r="N685" s="50"/>
      <c r="O685" s="5"/>
      <c r="P685" s="9"/>
      <c r="Q685" s="34"/>
      <c r="R685" s="5"/>
      <c r="S685" s="35"/>
    </row>
    <row r="686" spans="1:19" ht="30" customHeight="1" x14ac:dyDescent="0.35">
      <c r="A686" s="569"/>
      <c r="B686" s="569"/>
      <c r="C686" s="510"/>
      <c r="D686" s="510"/>
      <c r="E686" s="510"/>
      <c r="F686" s="510"/>
      <c r="G686" s="1191" t="s">
        <v>3000</v>
      </c>
      <c r="H686" s="1192"/>
      <c r="I686" s="1193"/>
      <c r="J686" s="570">
        <v>1.0438745311870361</v>
      </c>
      <c r="K686" s="285">
        <f>+K685*J686</f>
        <v>44583.683135818363</v>
      </c>
      <c r="L686" s="186" t="s">
        <v>40</v>
      </c>
      <c r="M686" s="50"/>
      <c r="N686" s="50"/>
      <c r="O686" s="5"/>
      <c r="P686" s="9"/>
      <c r="Q686" s="34"/>
      <c r="R686" s="5"/>
      <c r="S686" s="35"/>
    </row>
    <row r="687" spans="1:19" ht="30" customHeight="1" x14ac:dyDescent="0.35">
      <c r="A687" s="1212" t="s">
        <v>198</v>
      </c>
      <c r="B687" s="1213"/>
      <c r="C687" s="1213"/>
      <c r="D687" s="1213"/>
      <c r="E687" s="1213"/>
      <c r="F687" s="1213"/>
      <c r="G687" s="1213"/>
      <c r="H687" s="1213"/>
      <c r="I687" s="1213"/>
      <c r="J687" s="1213"/>
      <c r="K687" s="1213"/>
      <c r="L687" s="1214"/>
      <c r="M687" s="50"/>
      <c r="N687" s="50"/>
      <c r="O687" s="5"/>
      <c r="P687" s="9"/>
      <c r="Q687" s="34"/>
      <c r="R687" s="5"/>
      <c r="S687" s="35"/>
    </row>
    <row r="688" spans="1:19" ht="30" customHeight="1" x14ac:dyDescent="0.35">
      <c r="A688" s="1266" t="s">
        <v>199</v>
      </c>
      <c r="B688" s="1267"/>
      <c r="C688" s="1267"/>
      <c r="D688" s="1274" t="s">
        <v>362</v>
      </c>
      <c r="E688" s="1275"/>
      <c r="F688" s="1275"/>
      <c r="G688" s="1275"/>
      <c r="H688" s="1275"/>
      <c r="I688" s="1275"/>
      <c r="J688" s="1275"/>
      <c r="K688" s="1275"/>
      <c r="L688" s="1276"/>
      <c r="M688" s="50"/>
      <c r="N688" s="50"/>
      <c r="O688" s="5"/>
      <c r="P688" s="9"/>
      <c r="Q688" s="34"/>
      <c r="R688" s="5"/>
      <c r="S688" s="35"/>
    </row>
    <row r="689" spans="1:21" ht="30" customHeight="1" x14ac:dyDescent="0.35">
      <c r="A689" s="1266" t="s">
        <v>200</v>
      </c>
      <c r="B689" s="1267"/>
      <c r="C689" s="1267"/>
      <c r="D689" s="1534" t="s">
        <v>363</v>
      </c>
      <c r="E689" s="1535"/>
      <c r="F689" s="1535"/>
      <c r="G689" s="1535"/>
      <c r="H689" s="1535"/>
      <c r="I689" s="1535"/>
      <c r="J689" s="1535"/>
      <c r="K689" s="1535"/>
      <c r="L689" s="1536"/>
      <c r="M689" s="9"/>
      <c r="N689" s="50"/>
      <c r="O689" s="5"/>
      <c r="P689" s="9"/>
      <c r="Q689" s="34"/>
      <c r="R689" s="5"/>
      <c r="S689" s="35"/>
    </row>
    <row r="690" spans="1:21" ht="30" customHeight="1" x14ac:dyDescent="0.35">
      <c r="A690" s="1266" t="s">
        <v>201</v>
      </c>
      <c r="B690" s="1267"/>
      <c r="C690" s="1267"/>
      <c r="D690" s="1534" t="s">
        <v>364</v>
      </c>
      <c r="E690" s="1535"/>
      <c r="F690" s="1535"/>
      <c r="G690" s="1535"/>
      <c r="H690" s="1535"/>
      <c r="I690" s="1535"/>
      <c r="J690" s="1535"/>
      <c r="K690" s="1535"/>
      <c r="L690" s="1536"/>
      <c r="M690" s="96"/>
      <c r="N690" s="50"/>
      <c r="O690" s="5"/>
      <c r="P690" s="9"/>
      <c r="Q690" s="34"/>
      <c r="R690" s="5"/>
      <c r="S690" s="35"/>
    </row>
    <row r="691" spans="1:21" ht="30" customHeight="1" x14ac:dyDescent="0.35">
      <c r="A691" s="1266" t="s">
        <v>202</v>
      </c>
      <c r="B691" s="1267"/>
      <c r="C691" s="1267"/>
      <c r="D691" s="1534" t="s">
        <v>365</v>
      </c>
      <c r="E691" s="1535"/>
      <c r="F691" s="1535"/>
      <c r="G691" s="1535"/>
      <c r="H691" s="1535"/>
      <c r="I691" s="1535"/>
      <c r="J691" s="1535"/>
      <c r="K691" s="1535"/>
      <c r="L691" s="1536"/>
      <c r="M691" s="50"/>
      <c r="N691" s="50"/>
      <c r="T691" s="10"/>
      <c r="U691" s="10"/>
    </row>
    <row r="692" spans="1:21" ht="30" customHeight="1" x14ac:dyDescent="0.35">
      <c r="A692" s="1266" t="s">
        <v>203</v>
      </c>
      <c r="B692" s="1267"/>
      <c r="C692" s="1267"/>
      <c r="D692" s="1534" t="s">
        <v>204</v>
      </c>
      <c r="E692" s="1535"/>
      <c r="F692" s="1535"/>
      <c r="G692" s="1535"/>
      <c r="H692" s="1535"/>
      <c r="I692" s="1535"/>
      <c r="J692" s="1535"/>
      <c r="K692" s="1535"/>
      <c r="L692" s="1536"/>
      <c r="M692" s="50"/>
      <c r="N692" s="50"/>
      <c r="T692" s="10"/>
      <c r="U692" s="10"/>
    </row>
    <row r="693" spans="1:21" s="396" customFormat="1" ht="30" customHeight="1" x14ac:dyDescent="0.35">
      <c r="A693" s="1266" t="s">
        <v>205</v>
      </c>
      <c r="B693" s="1267"/>
      <c r="C693" s="1267"/>
      <c r="D693" s="1534" t="s">
        <v>206</v>
      </c>
      <c r="E693" s="1535"/>
      <c r="F693" s="1535"/>
      <c r="G693" s="1535"/>
      <c r="H693" s="1535"/>
      <c r="I693" s="1535"/>
      <c r="J693" s="1535"/>
      <c r="K693" s="1535"/>
      <c r="L693" s="1536"/>
      <c r="M693" s="735"/>
      <c r="N693" s="50"/>
      <c r="O693" s="572"/>
      <c r="P693" s="384"/>
    </row>
    <row r="694" spans="1:21" ht="30" customHeight="1" x14ac:dyDescent="0.35">
      <c r="A694" s="1266" t="s">
        <v>207</v>
      </c>
      <c r="B694" s="1267"/>
      <c r="C694" s="1267"/>
      <c r="D694" s="1534" t="s">
        <v>366</v>
      </c>
      <c r="E694" s="1535"/>
      <c r="F694" s="1535"/>
      <c r="G694" s="1535"/>
      <c r="H694" s="1535"/>
      <c r="I694" s="1535"/>
      <c r="J694" s="1535"/>
      <c r="K694" s="1535"/>
      <c r="L694" s="1536"/>
      <c r="M694" s="50"/>
      <c r="N694" s="50"/>
      <c r="O694" s="724"/>
    </row>
    <row r="695" spans="1:21" s="396" customFormat="1" ht="30" customHeight="1" x14ac:dyDescent="0.35">
      <c r="A695" s="1266" t="s">
        <v>367</v>
      </c>
      <c r="B695" s="1267"/>
      <c r="C695" s="1267"/>
      <c r="D695" s="1545" t="s">
        <v>265</v>
      </c>
      <c r="E695" s="1546"/>
      <c r="F695" s="1546"/>
      <c r="G695" s="1546"/>
      <c r="H695" s="1546"/>
      <c r="I695" s="1546"/>
      <c r="J695" s="1546"/>
      <c r="K695" s="1546"/>
      <c r="L695" s="1547"/>
      <c r="M695" s="96"/>
      <c r="N695" s="50"/>
      <c r="O695" s="572"/>
      <c r="P695" s="384"/>
    </row>
    <row r="696" spans="1:21" s="396" customFormat="1" ht="47.25" customHeight="1" thickBot="1" x14ac:dyDescent="0.4">
      <c r="A696" s="1534" t="s">
        <v>224</v>
      </c>
      <c r="B696" s="1535"/>
      <c r="C696" s="1536"/>
      <c r="D696" s="1553" t="s">
        <v>2441</v>
      </c>
      <c r="E696" s="1554"/>
      <c r="F696" s="1554"/>
      <c r="G696" s="1554"/>
      <c r="H696" s="1554"/>
      <c r="I696" s="1554"/>
      <c r="J696" s="1554"/>
      <c r="K696" s="1554"/>
      <c r="L696" s="1555"/>
      <c r="M696" s="96"/>
      <c r="N696" s="50"/>
      <c r="O696" s="572"/>
      <c r="P696" s="384"/>
    </row>
    <row r="697" spans="1:21" s="396" customFormat="1" ht="30" customHeight="1" thickBot="1" x14ac:dyDescent="0.4">
      <c r="A697" s="1199"/>
      <c r="B697" s="1200"/>
      <c r="C697" s="1200"/>
      <c r="D697" s="1200"/>
      <c r="E697" s="1200"/>
      <c r="F697" s="1200"/>
      <c r="G697" s="1200"/>
      <c r="H697" s="1200"/>
      <c r="I697" s="1200"/>
      <c r="J697" s="1200"/>
      <c r="K697" s="1200"/>
      <c r="L697" s="1201"/>
      <c r="M697" s="50"/>
      <c r="N697" s="50"/>
      <c r="O697" s="572"/>
      <c r="P697" s="384"/>
    </row>
    <row r="698" spans="1:21" ht="30" customHeight="1" x14ac:dyDescent="0.35">
      <c r="A698" s="388" t="s">
        <v>1</v>
      </c>
      <c r="B698" s="389">
        <v>1496</v>
      </c>
      <c r="C698" s="1290" t="s">
        <v>368</v>
      </c>
      <c r="D698" s="1291"/>
      <c r="E698" s="392" t="s">
        <v>3</v>
      </c>
      <c r="F698" s="393" t="s">
        <v>108</v>
      </c>
      <c r="G698" s="390" t="s">
        <v>38</v>
      </c>
      <c r="H698" s="660">
        <v>54909</v>
      </c>
      <c r="I698" s="392" t="s">
        <v>5</v>
      </c>
      <c r="J698" s="1207" t="s">
        <v>2873</v>
      </c>
      <c r="K698" s="1207"/>
      <c r="L698" s="1208"/>
      <c r="M698" s="96"/>
      <c r="N698" s="50"/>
    </row>
    <row r="699" spans="1:21" ht="30" customHeight="1" x14ac:dyDescent="0.35">
      <c r="A699" s="185" t="s">
        <v>177</v>
      </c>
      <c r="B699" s="1272" t="s">
        <v>7</v>
      </c>
      <c r="C699" s="1272"/>
      <c r="D699" s="1272"/>
      <c r="E699" s="492" t="s">
        <v>178</v>
      </c>
      <c r="F699" s="397" t="s">
        <v>52</v>
      </c>
      <c r="G699" s="1292" t="s">
        <v>54</v>
      </c>
      <c r="H699" s="1293"/>
      <c r="I699" s="1221" t="s">
        <v>179</v>
      </c>
      <c r="J699" s="1222"/>
      <c r="K699" s="1209" t="s">
        <v>180</v>
      </c>
      <c r="L699" s="1210"/>
      <c r="M699" s="50"/>
      <c r="N699" s="50"/>
    </row>
    <row r="700" spans="1:21" ht="30" customHeight="1" x14ac:dyDescent="0.35">
      <c r="A700" s="186">
        <v>14165</v>
      </c>
      <c r="B700" s="1202" t="s">
        <v>2974</v>
      </c>
      <c r="C700" s="1203"/>
      <c r="D700" s="1204"/>
      <c r="E700" s="739">
        <v>3800</v>
      </c>
      <c r="F700" s="209">
        <v>1243</v>
      </c>
      <c r="G700" s="740"/>
      <c r="H700" s="741"/>
      <c r="I700" s="1332">
        <f>+'FY2024 MILCON Inflation Table'!F23</f>
        <v>0.93863689284411045</v>
      </c>
      <c r="J700" s="1333"/>
      <c r="K700" s="199">
        <f>+F700*I700</f>
        <v>1166.7256578052293</v>
      </c>
      <c r="L700" s="186" t="s">
        <v>108</v>
      </c>
      <c r="M700" s="50"/>
      <c r="N700" s="50"/>
      <c r="O700" s="5"/>
      <c r="P700" s="9"/>
      <c r="Q700" s="34"/>
      <c r="R700" s="5"/>
      <c r="S700" s="35"/>
    </row>
    <row r="701" spans="1:21" ht="30" customHeight="1" x14ac:dyDescent="0.35">
      <c r="A701" s="271">
        <v>85110</v>
      </c>
      <c r="B701" s="1212" t="s">
        <v>2975</v>
      </c>
      <c r="C701" s="1213"/>
      <c r="D701" s="1214"/>
      <c r="E701" s="568">
        <v>20000</v>
      </c>
      <c r="F701" s="209">
        <v>167.66</v>
      </c>
      <c r="G701" s="742">
        <v>9</v>
      </c>
      <c r="H701" s="743" t="s">
        <v>816</v>
      </c>
      <c r="I701" s="1332">
        <f>+I700</f>
        <v>0.93863689284411045</v>
      </c>
      <c r="J701" s="1333"/>
      <c r="K701" s="307">
        <f>+F701/G701*I701</f>
        <v>17.48576238380484</v>
      </c>
      <c r="L701" s="186" t="s">
        <v>108</v>
      </c>
      <c r="M701" s="50"/>
      <c r="N701" s="50"/>
      <c r="O701" s="5"/>
      <c r="P701" s="9"/>
      <c r="Q701" s="34"/>
      <c r="R701" s="5"/>
      <c r="S701" s="35"/>
    </row>
    <row r="702" spans="1:21" ht="105" customHeight="1" x14ac:dyDescent="0.35">
      <c r="A702" s="271"/>
      <c r="B702" s="744"/>
      <c r="C702" s="745"/>
      <c r="D702" s="746"/>
      <c r="E702" s="568"/>
      <c r="F702" s="747"/>
      <c r="G702" s="742"/>
      <c r="H702" s="743"/>
      <c r="I702" s="668"/>
      <c r="J702" s="669" t="s">
        <v>2976</v>
      </c>
      <c r="K702" s="307">
        <f>+K700*0.16+K701*0.84</f>
        <v>201.36414565123275</v>
      </c>
      <c r="L702" s="271"/>
      <c r="M702" s="50"/>
      <c r="N702" s="50"/>
      <c r="O702" s="5"/>
      <c r="P702" s="9"/>
      <c r="Q702" s="34"/>
      <c r="R702" s="5"/>
      <c r="S702" s="35"/>
    </row>
    <row r="703" spans="1:21" ht="30" customHeight="1" thickBot="1" x14ac:dyDescent="0.4">
      <c r="A703" s="186"/>
      <c r="B703" s="1264" t="s">
        <v>2825</v>
      </c>
      <c r="C703" s="1264"/>
      <c r="D703" s="1264"/>
      <c r="E703" s="652"/>
      <c r="F703" s="653"/>
      <c r="G703" s="653"/>
      <c r="H703" s="654"/>
      <c r="I703" s="503"/>
      <c r="J703" s="494" t="s">
        <v>37</v>
      </c>
      <c r="K703" s="199">
        <f>+K702</f>
        <v>201.36414565123275</v>
      </c>
      <c r="L703" s="186" t="s">
        <v>108</v>
      </c>
      <c r="M703" s="50"/>
      <c r="N703" s="50"/>
      <c r="O703" s="5"/>
      <c r="P703" s="9"/>
      <c r="Q703" s="34"/>
      <c r="R703" s="5"/>
      <c r="S703" s="35"/>
    </row>
    <row r="704" spans="1:21" ht="30" customHeight="1" thickBot="1" x14ac:dyDescent="0.4">
      <c r="A704" s="1199"/>
      <c r="B704" s="1200"/>
      <c r="C704" s="1200"/>
      <c r="D704" s="1200"/>
      <c r="E704" s="1200"/>
      <c r="F704" s="1200"/>
      <c r="G704" s="1200"/>
      <c r="H704" s="1200"/>
      <c r="I704" s="1200"/>
      <c r="J704" s="1200"/>
      <c r="K704" s="1200"/>
      <c r="L704" s="1201"/>
      <c r="M704" s="50"/>
      <c r="N704" s="50"/>
      <c r="O704" s="5"/>
      <c r="P704" s="9"/>
      <c r="Q704" s="34"/>
      <c r="R704" s="5"/>
      <c r="S704" s="35"/>
    </row>
    <row r="705" spans="1:19" ht="30" customHeight="1" x14ac:dyDescent="0.35">
      <c r="A705" s="388" t="s">
        <v>1</v>
      </c>
      <c r="B705" s="389">
        <v>1498</v>
      </c>
      <c r="C705" s="1290" t="s">
        <v>372</v>
      </c>
      <c r="D705" s="1291"/>
      <c r="E705" s="392" t="s">
        <v>3</v>
      </c>
      <c r="F705" s="393" t="s">
        <v>108</v>
      </c>
      <c r="G705" s="390" t="s">
        <v>38</v>
      </c>
      <c r="H705" s="135">
        <v>370</v>
      </c>
      <c r="I705" s="392" t="s">
        <v>5</v>
      </c>
      <c r="J705" s="1207" t="s">
        <v>232</v>
      </c>
      <c r="K705" s="1207"/>
      <c r="L705" s="1208"/>
      <c r="M705" s="96"/>
      <c r="N705" s="50"/>
      <c r="O705" s="5"/>
      <c r="P705" s="9"/>
      <c r="Q705" s="34"/>
      <c r="R705" s="5"/>
      <c r="S705" s="35"/>
    </row>
    <row r="706" spans="1:19" ht="30" customHeight="1" x14ac:dyDescent="0.35">
      <c r="A706" s="185" t="s">
        <v>177</v>
      </c>
      <c r="B706" s="1272" t="s">
        <v>7</v>
      </c>
      <c r="C706" s="1272"/>
      <c r="D706" s="1272"/>
      <c r="E706" s="397" t="s">
        <v>52</v>
      </c>
      <c r="F706" s="492" t="s">
        <v>178</v>
      </c>
      <c r="G706" s="1292" t="s">
        <v>54</v>
      </c>
      <c r="H706" s="1293"/>
      <c r="I706" s="1221" t="s">
        <v>179</v>
      </c>
      <c r="J706" s="1222"/>
      <c r="K706" s="1209" t="s">
        <v>180</v>
      </c>
      <c r="L706" s="1210"/>
      <c r="M706" s="96"/>
      <c r="N706" s="50"/>
      <c r="O706" s="5"/>
      <c r="P706" s="9"/>
      <c r="Q706" s="34"/>
      <c r="R706" s="5"/>
      <c r="S706" s="35"/>
    </row>
    <row r="707" spans="1:19" ht="30" customHeight="1" x14ac:dyDescent="0.35">
      <c r="A707" s="186">
        <v>14113</v>
      </c>
      <c r="B707" s="1202" t="s">
        <v>373</v>
      </c>
      <c r="C707" s="1203"/>
      <c r="D707" s="1204"/>
      <c r="E707" s="194">
        <v>544</v>
      </c>
      <c r="F707" s="186">
        <v>660</v>
      </c>
      <c r="G707" s="186"/>
      <c r="H707" s="186"/>
      <c r="I707" s="1332">
        <f>+'FY2024 MILCON Inflation Table'!F21</f>
        <v>0.97847358121330719</v>
      </c>
      <c r="J707" s="1333"/>
      <c r="K707" s="199">
        <f>+E707*I707</f>
        <v>532.28962818003913</v>
      </c>
      <c r="L707" s="186" t="s">
        <v>108</v>
      </c>
      <c r="M707" s="50"/>
      <c r="N707" s="97"/>
      <c r="O707" s="5"/>
      <c r="P707" s="9"/>
      <c r="Q707" s="34"/>
      <c r="R707" s="5"/>
      <c r="S707" s="35"/>
    </row>
    <row r="708" spans="1:19" ht="30" customHeight="1" x14ac:dyDescent="0.35">
      <c r="A708" s="186">
        <v>14113</v>
      </c>
      <c r="B708" s="1211" t="s">
        <v>374</v>
      </c>
      <c r="C708" s="1211"/>
      <c r="D708" s="1211"/>
      <c r="E708" s="194">
        <v>766</v>
      </c>
      <c r="F708" s="186">
        <v>933</v>
      </c>
      <c r="G708" s="692"/>
      <c r="H708" s="692"/>
      <c r="I708" s="1332">
        <f>+I707</f>
        <v>0.97847358121330719</v>
      </c>
      <c r="J708" s="1333"/>
      <c r="K708" s="199">
        <f>+E708*I708</f>
        <v>749.5107632093933</v>
      </c>
      <c r="L708" s="186" t="s">
        <v>108</v>
      </c>
      <c r="M708" s="50"/>
      <c r="N708" s="50"/>
      <c r="O708" s="5"/>
      <c r="P708" s="9"/>
      <c r="Q708" s="34"/>
      <c r="R708" s="5"/>
      <c r="S708" s="35"/>
    </row>
    <row r="709" spans="1:19" ht="30" customHeight="1" x14ac:dyDescent="0.35">
      <c r="A709" s="186">
        <v>14113</v>
      </c>
      <c r="B709" s="1202" t="s">
        <v>375</v>
      </c>
      <c r="C709" s="1203"/>
      <c r="D709" s="1204"/>
      <c r="E709" s="194">
        <v>1861</v>
      </c>
      <c r="F709" s="186">
        <v>149</v>
      </c>
      <c r="G709" s="692"/>
      <c r="H709" s="692"/>
      <c r="I709" s="1332">
        <f>+I707</f>
        <v>0.97847358121330719</v>
      </c>
      <c r="J709" s="1333"/>
      <c r="K709" s="199">
        <f>+E709*I709</f>
        <v>1820.9393346379647</v>
      </c>
      <c r="L709" s="186" t="s">
        <v>108</v>
      </c>
      <c r="M709" s="50"/>
      <c r="N709" s="50"/>
      <c r="O709" s="5"/>
      <c r="P709" s="9"/>
      <c r="Q709" s="34"/>
      <c r="R709" s="5"/>
      <c r="S709" s="35"/>
    </row>
    <row r="710" spans="1:19" ht="30" customHeight="1" x14ac:dyDescent="0.35">
      <c r="A710" s="186">
        <v>14113</v>
      </c>
      <c r="B710" s="1202" t="s">
        <v>376</v>
      </c>
      <c r="C710" s="1203"/>
      <c r="D710" s="1203"/>
      <c r="E710" s="194">
        <v>427</v>
      </c>
      <c r="F710" s="748">
        <v>2960</v>
      </c>
      <c r="G710" s="692"/>
      <c r="H710" s="692"/>
      <c r="I710" s="1332">
        <f>+I707</f>
        <v>0.97847358121330719</v>
      </c>
      <c r="J710" s="1333"/>
      <c r="K710" s="199">
        <f>+E710*I710</f>
        <v>417.80821917808214</v>
      </c>
      <c r="L710" s="186" t="s">
        <v>108</v>
      </c>
      <c r="M710" s="50"/>
      <c r="O710" s="5"/>
      <c r="P710" s="9"/>
      <c r="Q710" s="34"/>
      <c r="R710" s="5"/>
      <c r="S710" s="35"/>
    </row>
    <row r="711" spans="1:19" ht="30" customHeight="1" thickBot="1" x14ac:dyDescent="0.4">
      <c r="A711" s="186"/>
      <c r="B711" s="529"/>
      <c r="C711" s="520"/>
      <c r="D711" s="520"/>
      <c r="E711" s="520"/>
      <c r="F711" s="749"/>
      <c r="G711" s="520"/>
      <c r="H711" s="750" t="s">
        <v>192</v>
      </c>
      <c r="I711" s="503"/>
      <c r="J711" s="494" t="s">
        <v>37</v>
      </c>
      <c r="K711" s="190">
        <f>AVERAGE(K707:K710)</f>
        <v>880.13698630136992</v>
      </c>
      <c r="L711" s="186" t="s">
        <v>108</v>
      </c>
      <c r="M711" s="50"/>
      <c r="N711" s="50"/>
      <c r="O711" s="5"/>
      <c r="P711" s="9"/>
      <c r="Q711" s="34"/>
      <c r="R711" s="5"/>
      <c r="S711" s="35"/>
    </row>
    <row r="712" spans="1:19" ht="30" customHeight="1" thickBot="1" x14ac:dyDescent="0.4">
      <c r="A712" s="1199"/>
      <c r="B712" s="1200"/>
      <c r="C712" s="1200"/>
      <c r="D712" s="1200"/>
      <c r="E712" s="1200"/>
      <c r="F712" s="1200"/>
      <c r="G712" s="1200"/>
      <c r="H712" s="1200"/>
      <c r="I712" s="1200"/>
      <c r="J712" s="1200"/>
      <c r="K712" s="1200"/>
      <c r="L712" s="1201"/>
      <c r="M712" s="96"/>
      <c r="N712" s="50"/>
      <c r="O712" s="5"/>
      <c r="P712" s="9"/>
      <c r="Q712" s="34"/>
      <c r="R712" s="5"/>
      <c r="S712" s="35"/>
    </row>
    <row r="713" spans="1:19" ht="30" customHeight="1" x14ac:dyDescent="0.35">
      <c r="A713" s="388" t="s">
        <v>1</v>
      </c>
      <c r="B713" s="389">
        <v>1499</v>
      </c>
      <c r="C713" s="1290" t="s">
        <v>377</v>
      </c>
      <c r="D713" s="1291"/>
      <c r="E713" s="392" t="s">
        <v>3</v>
      </c>
      <c r="F713" s="393" t="s">
        <v>40</v>
      </c>
      <c r="G713" s="520" t="s">
        <v>2</v>
      </c>
      <c r="H713" s="135">
        <v>1</v>
      </c>
      <c r="I713" s="392" t="s">
        <v>5</v>
      </c>
      <c r="J713" s="1207" t="s">
        <v>2571</v>
      </c>
      <c r="K713" s="1207"/>
      <c r="L713" s="1208"/>
      <c r="M713" s="96"/>
      <c r="N713" s="50"/>
      <c r="O713" s="5"/>
      <c r="P713" s="9"/>
      <c r="Q713" s="34"/>
      <c r="R713" s="5"/>
      <c r="S713" s="35"/>
    </row>
    <row r="714" spans="1:19" ht="30" customHeight="1" x14ac:dyDescent="0.35">
      <c r="A714" s="185" t="s">
        <v>378</v>
      </c>
      <c r="B714" s="1272" t="s">
        <v>7</v>
      </c>
      <c r="C714" s="1272"/>
      <c r="D714" s="1272"/>
      <c r="E714" s="185" t="s">
        <v>52</v>
      </c>
      <c r="F714" s="185" t="s">
        <v>53</v>
      </c>
      <c r="G714" s="1219" t="s">
        <v>54</v>
      </c>
      <c r="H714" s="1220"/>
      <c r="I714" s="1221" t="s">
        <v>179</v>
      </c>
      <c r="J714" s="1222"/>
      <c r="K714" s="1209" t="s">
        <v>180</v>
      </c>
      <c r="L714" s="1210"/>
      <c r="M714" s="50"/>
      <c r="N714" s="50"/>
      <c r="O714" s="5"/>
      <c r="P714" s="9"/>
      <c r="Q714" s="34"/>
      <c r="R714" s="5"/>
      <c r="S714" s="35"/>
    </row>
    <row r="715" spans="1:19" ht="30" customHeight="1" x14ac:dyDescent="0.35">
      <c r="A715" s="186">
        <v>81230</v>
      </c>
      <c r="B715" s="1265" t="s">
        <v>1086</v>
      </c>
      <c r="C715" s="1265"/>
      <c r="D715" s="1265"/>
      <c r="E715" s="194">
        <v>235</v>
      </c>
      <c r="F715" s="46" t="s">
        <v>108</v>
      </c>
      <c r="G715" s="186">
        <v>230</v>
      </c>
      <c r="H715" s="751" t="s">
        <v>214</v>
      </c>
      <c r="I715" s="1307">
        <f>+'FY2024 MILCON Inflation Table'!F8</f>
        <v>1.7467053391350638</v>
      </c>
      <c r="J715" s="1308"/>
      <c r="K715" s="212">
        <f>+E715*G715*I715</f>
        <v>94409.423580250193</v>
      </c>
      <c r="L715" s="186" t="s">
        <v>40</v>
      </c>
      <c r="M715" s="50"/>
      <c r="N715" s="50"/>
      <c r="O715" s="5"/>
      <c r="P715" s="9"/>
      <c r="Q715" s="34"/>
      <c r="R715" s="5"/>
      <c r="S715" s="35"/>
    </row>
    <row r="716" spans="1:19" ht="30" customHeight="1" x14ac:dyDescent="0.35">
      <c r="A716" s="186">
        <v>17971</v>
      </c>
      <c r="B716" s="1212" t="s">
        <v>2834</v>
      </c>
      <c r="C716" s="1213"/>
      <c r="D716" s="1214"/>
      <c r="E716" s="194">
        <v>279109</v>
      </c>
      <c r="F716" s="203" t="s">
        <v>40</v>
      </c>
      <c r="G716" s="186"/>
      <c r="H716" s="186"/>
      <c r="I716" s="1332">
        <f>+'FY2024 MILCON Inflation Table'!F21</f>
        <v>0.97847358121330719</v>
      </c>
      <c r="J716" s="1333"/>
      <c r="K716" s="212">
        <f>+E716*I716</f>
        <v>273100.78277886496</v>
      </c>
      <c r="L716" s="186" t="s">
        <v>40</v>
      </c>
      <c r="M716" s="50"/>
      <c r="N716" s="50"/>
      <c r="O716" s="5"/>
      <c r="P716" s="9"/>
      <c r="Q716" s="34"/>
      <c r="R716" s="5"/>
      <c r="S716" s="35"/>
    </row>
    <row r="717" spans="1:19" ht="30" customHeight="1" thickBot="1" x14ac:dyDescent="0.4">
      <c r="A717" s="753"/>
      <c r="B717" s="1528"/>
      <c r="C717" s="1529"/>
      <c r="D717" s="1529"/>
      <c r="E717" s="1529"/>
      <c r="F717" s="1530"/>
      <c r="G717" s="1531"/>
      <c r="H717" s="1532"/>
      <c r="I717" s="1532"/>
      <c r="J717" s="754" t="s">
        <v>379</v>
      </c>
      <c r="K717" s="491">
        <f>((871/2361)*K715)+((1490/2361)*K716)</f>
        <v>207179.4893176225</v>
      </c>
      <c r="L717" s="755" t="s">
        <v>40</v>
      </c>
      <c r="M717" s="50"/>
      <c r="N717" s="50"/>
    </row>
    <row r="718" spans="1:19" ht="30" customHeight="1" thickBot="1" x14ac:dyDescent="0.4">
      <c r="A718" s="1548" t="s">
        <v>2977</v>
      </c>
      <c r="B718" s="1549"/>
      <c r="C718" s="1549"/>
      <c r="D718" s="1549"/>
      <c r="E718" s="1549"/>
      <c r="F718" s="1549"/>
      <c r="G718" s="1549"/>
      <c r="H718" s="1549"/>
      <c r="I718" s="1549"/>
      <c r="J718" s="1549"/>
      <c r="K718" s="1549"/>
      <c r="L718" s="1550"/>
      <c r="M718" s="50"/>
      <c r="N718" s="50"/>
      <c r="O718" s="5"/>
      <c r="P718" s="9"/>
      <c r="Q718" s="34"/>
      <c r="R718" s="5"/>
      <c r="S718" s="35"/>
    </row>
    <row r="719" spans="1:19" ht="30" customHeight="1" thickBot="1" x14ac:dyDescent="0.4">
      <c r="A719" s="1199"/>
      <c r="B719" s="1200"/>
      <c r="C719" s="1200"/>
      <c r="D719" s="1200"/>
      <c r="E719" s="1200"/>
      <c r="F719" s="1200"/>
      <c r="G719" s="1200"/>
      <c r="H719" s="1200"/>
      <c r="I719" s="1200"/>
      <c r="J719" s="1200"/>
      <c r="K719" s="1200"/>
      <c r="L719" s="1201"/>
      <c r="M719" s="50"/>
      <c r="N719" s="50"/>
      <c r="O719" s="5"/>
      <c r="P719" s="9"/>
      <c r="Q719" s="34"/>
      <c r="R719" s="5"/>
      <c r="S719" s="35"/>
    </row>
    <row r="720" spans="1:19" ht="30" customHeight="1" x14ac:dyDescent="0.35">
      <c r="A720" s="388" t="s">
        <v>1</v>
      </c>
      <c r="B720" s="389">
        <v>1511</v>
      </c>
      <c r="C720" s="1205" t="s">
        <v>380</v>
      </c>
      <c r="D720" s="1206"/>
      <c r="E720" s="392" t="s">
        <v>3</v>
      </c>
      <c r="F720" s="393" t="s">
        <v>4</v>
      </c>
      <c r="G720" s="390" t="s">
        <v>38</v>
      </c>
      <c r="H720" s="135">
        <v>5473</v>
      </c>
      <c r="I720" s="392" t="s">
        <v>5</v>
      </c>
      <c r="J720" s="1207" t="s">
        <v>381</v>
      </c>
      <c r="K720" s="1207"/>
      <c r="L720" s="1208"/>
      <c r="M720" s="96"/>
      <c r="N720" s="50"/>
      <c r="O720" s="5"/>
      <c r="P720" s="9"/>
      <c r="Q720" s="34"/>
      <c r="R720" s="5"/>
      <c r="S720" s="35"/>
    </row>
    <row r="721" spans="1:19" ht="30" customHeight="1" x14ac:dyDescent="0.35">
      <c r="A721" s="185"/>
      <c r="B721" s="1272" t="s">
        <v>7</v>
      </c>
      <c r="C721" s="1272"/>
      <c r="D721" s="1272"/>
      <c r="E721" s="185" t="s">
        <v>382</v>
      </c>
      <c r="F721" s="185" t="s">
        <v>9</v>
      </c>
      <c r="G721" s="1362" t="s">
        <v>54</v>
      </c>
      <c r="H721" s="1363"/>
      <c r="I721" s="1221" t="s">
        <v>179</v>
      </c>
      <c r="J721" s="1222"/>
      <c r="K721" s="1209" t="s">
        <v>180</v>
      </c>
      <c r="L721" s="1210"/>
      <c r="M721" s="50"/>
      <c r="O721" s="5"/>
      <c r="P721" s="9"/>
      <c r="Q721" s="34"/>
      <c r="R721" s="5"/>
      <c r="S721" s="35"/>
    </row>
    <row r="722" spans="1:19" ht="30" customHeight="1" x14ac:dyDescent="0.35">
      <c r="A722" s="407"/>
      <c r="B722" s="1265" t="s">
        <v>380</v>
      </c>
      <c r="C722" s="1265"/>
      <c r="D722" s="1265"/>
      <c r="E722" s="497">
        <v>2819.18</v>
      </c>
      <c r="F722" s="407" t="s">
        <v>4</v>
      </c>
      <c r="G722" s="503"/>
      <c r="H722" s="757"/>
      <c r="I722" s="1217">
        <f>+'FY2024 MILCON Inflation Table'!F5</f>
        <v>1.6558893067777138</v>
      </c>
      <c r="J722" s="1218"/>
      <c r="K722" s="497">
        <f>+E722*I722</f>
        <v>4668.2500158815947</v>
      </c>
      <c r="L722" s="407" t="s">
        <v>4</v>
      </c>
      <c r="M722" s="50"/>
      <c r="O722" s="5"/>
      <c r="P722" s="9"/>
      <c r="Q722" s="34"/>
      <c r="R722" s="5"/>
      <c r="S722" s="35"/>
    </row>
    <row r="723" spans="1:19" ht="30" customHeight="1" x14ac:dyDescent="0.35">
      <c r="A723" s="186"/>
      <c r="B723" s="1264"/>
      <c r="C723" s="1264"/>
      <c r="D723" s="1264"/>
      <c r="E723" s="1212" t="s">
        <v>383</v>
      </c>
      <c r="F723" s="1213"/>
      <c r="G723" s="1213"/>
      <c r="H723" s="1214"/>
      <c r="I723" s="503"/>
      <c r="J723" s="494" t="s">
        <v>37</v>
      </c>
      <c r="K723" s="190">
        <f>+K722</f>
        <v>4668.2500158815947</v>
      </c>
      <c r="L723" s="186" t="s">
        <v>4</v>
      </c>
      <c r="M723" s="50"/>
      <c r="O723" s="5"/>
      <c r="P723" s="9"/>
      <c r="Q723" s="34"/>
      <c r="R723" s="5"/>
      <c r="S723" s="35"/>
    </row>
    <row r="724" spans="1:19" ht="30" customHeight="1" thickBot="1" x14ac:dyDescent="0.4">
      <c r="A724" s="1320" t="s">
        <v>2789</v>
      </c>
      <c r="B724" s="1321"/>
      <c r="C724" s="1321"/>
      <c r="D724" s="1321"/>
      <c r="E724" s="1321"/>
      <c r="F724" s="1321"/>
      <c r="G724" s="1321"/>
      <c r="H724" s="1321"/>
      <c r="I724" s="1321"/>
      <c r="J724" s="1321"/>
      <c r="K724" s="1321"/>
      <c r="L724" s="1322"/>
      <c r="M724" s="50"/>
      <c r="N724" s="50"/>
      <c r="O724" s="5"/>
      <c r="P724" s="9"/>
      <c r="Q724" s="34"/>
      <c r="R724" s="5"/>
      <c r="S724" s="35"/>
    </row>
    <row r="725" spans="1:19" ht="30" customHeight="1" thickBot="1" x14ac:dyDescent="0.4">
      <c r="A725" s="1199"/>
      <c r="B725" s="1200"/>
      <c r="C725" s="1200"/>
      <c r="D725" s="1200"/>
      <c r="E725" s="1200"/>
      <c r="F725" s="1200"/>
      <c r="G725" s="1200"/>
      <c r="H725" s="1200"/>
      <c r="I725" s="1200"/>
      <c r="J725" s="1200"/>
      <c r="K725" s="1200"/>
      <c r="L725" s="1201"/>
      <c r="M725" s="50"/>
      <c r="N725" s="50"/>
      <c r="O725" s="5"/>
      <c r="P725" s="9"/>
      <c r="Q725" s="34"/>
      <c r="R725" s="5"/>
      <c r="S725" s="35"/>
    </row>
    <row r="726" spans="1:19" ht="30" customHeight="1" x14ac:dyDescent="0.35">
      <c r="A726" s="388" t="s">
        <v>1</v>
      </c>
      <c r="B726" s="389">
        <v>1512</v>
      </c>
      <c r="C726" s="1205" t="s">
        <v>384</v>
      </c>
      <c r="D726" s="1206"/>
      <c r="E726" s="392" t="s">
        <v>3</v>
      </c>
      <c r="F726" s="393" t="s">
        <v>4</v>
      </c>
      <c r="G726" s="390" t="s">
        <v>38</v>
      </c>
      <c r="H726" s="135">
        <v>4983</v>
      </c>
      <c r="I726" s="392" t="s">
        <v>5</v>
      </c>
      <c r="J726" s="1207" t="s">
        <v>381</v>
      </c>
      <c r="K726" s="1207"/>
      <c r="L726" s="1208"/>
      <c r="M726" s="96"/>
      <c r="N726" s="50"/>
      <c r="O726" s="5"/>
      <c r="P726" s="9"/>
      <c r="Q726" s="34"/>
      <c r="R726" s="5"/>
      <c r="S726" s="35"/>
    </row>
    <row r="727" spans="1:19" ht="30" customHeight="1" x14ac:dyDescent="0.35">
      <c r="A727" s="185"/>
      <c r="B727" s="1272" t="s">
        <v>7</v>
      </c>
      <c r="C727" s="1272"/>
      <c r="D727" s="1272"/>
      <c r="E727" s="185" t="s">
        <v>382</v>
      </c>
      <c r="F727" s="185" t="s">
        <v>9</v>
      </c>
      <c r="G727" s="1362" t="s">
        <v>54</v>
      </c>
      <c r="H727" s="1363"/>
      <c r="I727" s="1221" t="s">
        <v>179</v>
      </c>
      <c r="J727" s="1222"/>
      <c r="K727" s="1209" t="s">
        <v>180</v>
      </c>
      <c r="L727" s="1210"/>
      <c r="M727" s="50"/>
      <c r="N727" s="50"/>
      <c r="O727" s="5"/>
      <c r="P727" s="9"/>
      <c r="Q727" s="34"/>
      <c r="R727" s="5"/>
      <c r="S727" s="35"/>
    </row>
    <row r="728" spans="1:19" ht="30" customHeight="1" x14ac:dyDescent="0.35">
      <c r="A728" s="407"/>
      <c r="B728" s="1265" t="s">
        <v>2823</v>
      </c>
      <c r="C728" s="1265"/>
      <c r="D728" s="1265"/>
      <c r="E728" s="497">
        <v>2819.18</v>
      </c>
      <c r="F728" s="407" t="s">
        <v>4</v>
      </c>
      <c r="G728" s="503"/>
      <c r="H728" s="757"/>
      <c r="I728" s="1217">
        <f>+'FY2024 MILCON Inflation Table'!F5</f>
        <v>1.6558893067777138</v>
      </c>
      <c r="J728" s="1218"/>
      <c r="K728" s="497">
        <f>+E728*I728</f>
        <v>4668.2500158815947</v>
      </c>
      <c r="L728" s="407" t="s">
        <v>4</v>
      </c>
      <c r="M728" s="50"/>
      <c r="N728" s="50"/>
      <c r="O728" s="5"/>
      <c r="P728" s="9"/>
      <c r="Q728" s="34"/>
      <c r="R728" s="5"/>
      <c r="S728" s="35"/>
    </row>
    <row r="729" spans="1:19" ht="30" customHeight="1" x14ac:dyDescent="0.35">
      <c r="A729" s="186"/>
      <c r="B729" s="1264"/>
      <c r="C729" s="1264"/>
      <c r="D729" s="1264"/>
      <c r="E729" s="1212" t="s">
        <v>383</v>
      </c>
      <c r="F729" s="1213"/>
      <c r="G729" s="1213"/>
      <c r="H729" s="1214"/>
      <c r="I729" s="503"/>
      <c r="J729" s="494" t="s">
        <v>37</v>
      </c>
      <c r="K729" s="190">
        <f>+K728</f>
        <v>4668.2500158815947</v>
      </c>
      <c r="L729" s="186" t="s">
        <v>4</v>
      </c>
      <c r="M729" s="50"/>
      <c r="N729" s="97"/>
      <c r="O729" s="5"/>
      <c r="P729" s="9"/>
      <c r="Q729" s="34"/>
      <c r="R729" s="5"/>
      <c r="S729" s="35"/>
    </row>
    <row r="730" spans="1:19" ht="30" customHeight="1" thickBot="1" x14ac:dyDescent="0.4">
      <c r="A730" s="1320" t="s">
        <v>2841</v>
      </c>
      <c r="B730" s="1321"/>
      <c r="C730" s="1321"/>
      <c r="D730" s="1321"/>
      <c r="E730" s="1321"/>
      <c r="F730" s="1321"/>
      <c r="G730" s="1321"/>
      <c r="H730" s="1321"/>
      <c r="I730" s="1321"/>
      <c r="J730" s="1321"/>
      <c r="K730" s="1321"/>
      <c r="L730" s="1322"/>
      <c r="M730" s="50"/>
      <c r="N730" s="50"/>
      <c r="O730" s="5"/>
      <c r="P730" s="9"/>
      <c r="Q730" s="34"/>
      <c r="R730" s="5"/>
      <c r="S730" s="35"/>
    </row>
    <row r="731" spans="1:19" ht="30" customHeight="1" thickBot="1" x14ac:dyDescent="0.4">
      <c r="A731" s="1199"/>
      <c r="B731" s="1200"/>
      <c r="C731" s="1200"/>
      <c r="D731" s="1200"/>
      <c r="E731" s="1200"/>
      <c r="F731" s="1200"/>
      <c r="G731" s="1200"/>
      <c r="H731" s="1200"/>
      <c r="I731" s="1200"/>
      <c r="J731" s="1200"/>
      <c r="K731" s="1200"/>
      <c r="L731" s="1201"/>
      <c r="M731" s="50"/>
      <c r="N731" s="50"/>
      <c r="O731" s="5"/>
      <c r="P731" s="9"/>
      <c r="Q731" s="34"/>
      <c r="R731" s="5"/>
      <c r="S731" s="35"/>
    </row>
    <row r="732" spans="1:19" ht="30" customHeight="1" x14ac:dyDescent="0.35">
      <c r="A732" s="388" t="s">
        <v>1</v>
      </c>
      <c r="B732" s="389">
        <v>1513</v>
      </c>
      <c r="C732" s="1205" t="s">
        <v>385</v>
      </c>
      <c r="D732" s="1206"/>
      <c r="E732" s="392" t="s">
        <v>3</v>
      </c>
      <c r="F732" s="393" t="s">
        <v>4</v>
      </c>
      <c r="G732" s="390" t="s">
        <v>38</v>
      </c>
      <c r="H732" s="660">
        <v>4819</v>
      </c>
      <c r="I732" s="392" t="s">
        <v>5</v>
      </c>
      <c r="J732" s="1207" t="s">
        <v>186</v>
      </c>
      <c r="K732" s="1207"/>
      <c r="L732" s="1208"/>
      <c r="M732" s="50"/>
      <c r="N732" s="50"/>
      <c r="O732" s="5"/>
      <c r="P732" s="9"/>
      <c r="Q732" s="34"/>
      <c r="R732" s="5"/>
      <c r="S732" s="35"/>
    </row>
    <row r="733" spans="1:19" ht="30" customHeight="1" x14ac:dyDescent="0.35">
      <c r="A733" s="494" t="s">
        <v>187</v>
      </c>
      <c r="B733" s="1280" t="s">
        <v>211</v>
      </c>
      <c r="C733" s="1281"/>
      <c r="D733" s="1282"/>
      <c r="E733" s="566" t="s">
        <v>52</v>
      </c>
      <c r="F733" s="566" t="s">
        <v>53</v>
      </c>
      <c r="G733" s="1219" t="s">
        <v>54</v>
      </c>
      <c r="H733" s="1220"/>
      <c r="I733" s="632" t="s">
        <v>188</v>
      </c>
      <c r="J733" s="632"/>
      <c r="K733" s="1209" t="s">
        <v>180</v>
      </c>
      <c r="L733" s="1210"/>
      <c r="M733" s="50"/>
      <c r="N733" s="50"/>
      <c r="O733" s="5"/>
      <c r="P733" s="9"/>
      <c r="Q733" s="34"/>
      <c r="R733" s="5"/>
      <c r="S733" s="35"/>
    </row>
    <row r="734" spans="1:19" ht="30" customHeight="1" x14ac:dyDescent="0.35">
      <c r="A734" s="755" t="s">
        <v>189</v>
      </c>
      <c r="B734" s="1320" t="s">
        <v>386</v>
      </c>
      <c r="C734" s="1321"/>
      <c r="D734" s="1322"/>
      <c r="E734" s="194">
        <f>+(87+123)/2</f>
        <v>105</v>
      </c>
      <c r="F734" s="186" t="s">
        <v>108</v>
      </c>
      <c r="G734" s="117">
        <v>9</v>
      </c>
      <c r="H734" s="375" t="s">
        <v>387</v>
      </c>
      <c r="I734" s="204">
        <v>1.2</v>
      </c>
      <c r="J734" s="186"/>
      <c r="K734" s="194">
        <f>+E734*I734*G734</f>
        <v>1134</v>
      </c>
      <c r="L734" s="186" t="s">
        <v>4</v>
      </c>
      <c r="M734" s="50"/>
      <c r="N734" s="50"/>
      <c r="O734" s="5"/>
      <c r="P734" s="9"/>
      <c r="Q734" s="34"/>
      <c r="R734" s="5"/>
      <c r="S734" s="35"/>
    </row>
    <row r="735" spans="1:19" ht="30" customHeight="1" x14ac:dyDescent="0.35">
      <c r="A735" s="186"/>
      <c r="B735" s="1573"/>
      <c r="C735" s="1574"/>
      <c r="D735" s="1575"/>
      <c r="E735" s="138"/>
      <c r="F735" s="1215" t="s">
        <v>195</v>
      </c>
      <c r="G735" s="1273" t="s">
        <v>196</v>
      </c>
      <c r="H735" s="1273"/>
      <c r="I735" s="1273"/>
      <c r="J735" s="1273"/>
      <c r="K735" s="197">
        <v>1.06</v>
      </c>
      <c r="L735" s="186"/>
      <c r="M735" s="50"/>
      <c r="N735" s="50"/>
      <c r="O735" s="5"/>
      <c r="P735" s="9"/>
      <c r="Q735" s="34"/>
      <c r="R735" s="5"/>
      <c r="S735" s="35"/>
    </row>
    <row r="736" spans="1:19" ht="30" customHeight="1" x14ac:dyDescent="0.35">
      <c r="A736" s="186"/>
      <c r="B736" s="761"/>
      <c r="C736" s="761"/>
      <c r="D736" s="761"/>
      <c r="E736" s="138"/>
      <c r="F736" s="1216"/>
      <c r="G736" s="1268" t="s">
        <v>197</v>
      </c>
      <c r="H736" s="1268"/>
      <c r="I736" s="1268"/>
      <c r="J736" s="1268"/>
      <c r="K736" s="197">
        <v>1.06</v>
      </c>
      <c r="L736" s="186"/>
      <c r="M736" s="50"/>
      <c r="N736" s="50"/>
      <c r="O736" s="5"/>
      <c r="P736" s="9"/>
      <c r="Q736" s="34"/>
      <c r="R736" s="5"/>
      <c r="S736" s="35"/>
    </row>
    <row r="737" spans="1:21" ht="30" customHeight="1" x14ac:dyDescent="0.35">
      <c r="A737" s="186"/>
      <c r="B737" s="761"/>
      <c r="C737" s="761"/>
      <c r="D737" s="761"/>
      <c r="E737" s="138"/>
      <c r="F737" s="186"/>
      <c r="G737" s="186"/>
      <c r="H737" s="186"/>
      <c r="I737" s="186"/>
      <c r="J737" s="503" t="s">
        <v>37</v>
      </c>
      <c r="K737" s="194">
        <f>+K734*K735/K736</f>
        <v>1134</v>
      </c>
      <c r="L737" s="186" t="s">
        <v>4</v>
      </c>
      <c r="M737" s="50"/>
      <c r="N737" s="50"/>
      <c r="O737" s="56"/>
      <c r="P737" s="56"/>
      <c r="Q737" s="34"/>
      <c r="R737" s="5"/>
      <c r="S737" s="35"/>
    </row>
    <row r="738" spans="1:21" ht="30" customHeight="1" x14ac:dyDescent="0.35">
      <c r="A738" s="422"/>
      <c r="B738" s="762"/>
      <c r="C738" s="762"/>
      <c r="D738" s="762"/>
      <c r="E738" s="194"/>
      <c r="F738" s="186"/>
      <c r="G738" s="1374" t="s">
        <v>257</v>
      </c>
      <c r="H738" s="1375"/>
      <c r="I738" s="1376"/>
      <c r="J738" s="560">
        <f>VLOOKUP(B732,'Mil Cost Premiums for PUCs'!$A$4:$R$285,18,FALSE)</f>
        <v>1.0905505199999999</v>
      </c>
      <c r="K738" s="194">
        <f>+K737*J738</f>
        <v>1236.6842896799999</v>
      </c>
      <c r="L738" s="186" t="s">
        <v>4</v>
      </c>
      <c r="M738" s="50"/>
      <c r="N738" s="50"/>
      <c r="O738" s="5"/>
      <c r="P738" s="9"/>
      <c r="Q738" s="34"/>
      <c r="R738" s="5"/>
      <c r="S738" s="35"/>
    </row>
    <row r="739" spans="1:21" ht="30" customHeight="1" x14ac:dyDescent="0.35">
      <c r="A739" s="569"/>
      <c r="B739" s="569"/>
      <c r="C739" s="510"/>
      <c r="D739" s="510"/>
      <c r="E739" s="510"/>
      <c r="F739" s="510"/>
      <c r="G739" s="1191" t="s">
        <v>2817</v>
      </c>
      <c r="H739" s="1192"/>
      <c r="I739" s="1193"/>
      <c r="J739" s="570">
        <v>1.1214</v>
      </c>
      <c r="K739" s="285">
        <f>+K738*J739</f>
        <v>1386.8177624471518</v>
      </c>
      <c r="L739" s="186" t="s">
        <v>4</v>
      </c>
      <c r="M739" s="50"/>
      <c r="N739" s="50"/>
      <c r="O739" s="5"/>
      <c r="P739" s="9"/>
      <c r="Q739" s="34"/>
      <c r="R739" s="5"/>
      <c r="S739" s="35"/>
    </row>
    <row r="740" spans="1:21" ht="30" customHeight="1" thickBot="1" x14ac:dyDescent="0.4">
      <c r="A740" s="569"/>
      <c r="B740" s="569"/>
      <c r="C740" s="510"/>
      <c r="D740" s="510"/>
      <c r="E740" s="510"/>
      <c r="F740" s="510"/>
      <c r="G740" s="1191" t="s">
        <v>3000</v>
      </c>
      <c r="H740" s="1192"/>
      <c r="I740" s="1193"/>
      <c r="J740" s="570">
        <v>1.0438745311870361</v>
      </c>
      <c r="K740" s="285">
        <f>+K739*J740</f>
        <v>1447.6637416163751</v>
      </c>
      <c r="L740" s="186" t="s">
        <v>4</v>
      </c>
      <c r="M740" s="50"/>
      <c r="N740" s="50"/>
      <c r="O740" s="5"/>
      <c r="P740" s="9"/>
      <c r="Q740" s="34"/>
      <c r="R740" s="5"/>
      <c r="S740" s="35"/>
    </row>
    <row r="741" spans="1:21" ht="30" customHeight="1" thickBot="1" x14ac:dyDescent="0.4">
      <c r="A741" s="1199"/>
      <c r="B741" s="1200"/>
      <c r="C741" s="1200"/>
      <c r="D741" s="1200"/>
      <c r="E741" s="1200"/>
      <c r="F741" s="1200"/>
      <c r="G741" s="1200"/>
      <c r="H741" s="1200"/>
      <c r="I741" s="1200"/>
      <c r="J741" s="1200"/>
      <c r="K741" s="1200"/>
      <c r="L741" s="1201"/>
      <c r="M741" s="50"/>
      <c r="N741" s="50"/>
      <c r="O741" s="5"/>
      <c r="P741" s="9"/>
      <c r="Q741" s="34"/>
      <c r="R741" s="5"/>
      <c r="S741" s="35"/>
    </row>
    <row r="742" spans="1:21" ht="30" customHeight="1" x14ac:dyDescent="0.35">
      <c r="A742" s="388" t="s">
        <v>1</v>
      </c>
      <c r="B742" s="389">
        <v>1541</v>
      </c>
      <c r="C742" s="1205" t="s">
        <v>389</v>
      </c>
      <c r="D742" s="1206"/>
      <c r="E742" s="392" t="s">
        <v>3</v>
      </c>
      <c r="F742" s="393" t="s">
        <v>28</v>
      </c>
      <c r="G742" s="390" t="s">
        <v>38</v>
      </c>
      <c r="H742" s="660">
        <v>1968.14047729918</v>
      </c>
      <c r="I742" s="392" t="s">
        <v>5</v>
      </c>
      <c r="J742" s="1207" t="s">
        <v>2874</v>
      </c>
      <c r="K742" s="1207"/>
      <c r="L742" s="1208"/>
      <c r="M742" s="50"/>
      <c r="N742" s="50"/>
      <c r="O742" s="5"/>
      <c r="P742" s="9"/>
      <c r="Q742" s="34"/>
      <c r="R742" s="5"/>
      <c r="S742" s="35"/>
    </row>
    <row r="743" spans="1:21" ht="30" customHeight="1" x14ac:dyDescent="0.35">
      <c r="A743" s="494" t="s">
        <v>187</v>
      </c>
      <c r="B743" s="1280" t="s">
        <v>211</v>
      </c>
      <c r="C743" s="1281"/>
      <c r="D743" s="1282"/>
      <c r="E743" s="566" t="s">
        <v>52</v>
      </c>
      <c r="F743" s="566" t="s">
        <v>53</v>
      </c>
      <c r="G743" s="1219" t="s">
        <v>54</v>
      </c>
      <c r="H743" s="1220"/>
      <c r="I743" s="1225" t="s">
        <v>188</v>
      </c>
      <c r="J743" s="1226"/>
      <c r="K743" s="1209" t="s">
        <v>180</v>
      </c>
      <c r="L743" s="1210"/>
      <c r="M743" s="50"/>
      <c r="N743" s="50"/>
      <c r="O743" s="5"/>
      <c r="P743" s="9"/>
      <c r="Q743" s="34"/>
      <c r="R743" s="5"/>
      <c r="S743" s="35"/>
    </row>
    <row r="744" spans="1:21" ht="30" customHeight="1" x14ac:dyDescent="0.35">
      <c r="A744" s="186" t="s">
        <v>391</v>
      </c>
      <c r="B744" s="1212" t="s">
        <v>2696</v>
      </c>
      <c r="C744" s="1213"/>
      <c r="D744" s="1214"/>
      <c r="E744" s="194">
        <f>+(770+1270)/2</f>
        <v>1020</v>
      </c>
      <c r="F744" s="186" t="s">
        <v>28</v>
      </c>
      <c r="G744" s="763">
        <f>1.375*0.5</f>
        <v>0.6875</v>
      </c>
      <c r="H744" s="554" t="s">
        <v>2697</v>
      </c>
      <c r="I744" s="1372">
        <v>1.01</v>
      </c>
      <c r="J744" s="1373"/>
      <c r="K744" s="194">
        <f>+E744*I744*G744</f>
        <v>708.26250000000005</v>
      </c>
      <c r="L744" s="186" t="s">
        <v>28</v>
      </c>
      <c r="M744" s="50"/>
      <c r="N744" s="50"/>
      <c r="O744" s="5"/>
      <c r="P744" s="9"/>
      <c r="Q744" s="34"/>
      <c r="R744" s="5"/>
      <c r="S744" s="35"/>
    </row>
    <row r="745" spans="1:21" ht="30" customHeight="1" x14ac:dyDescent="0.35">
      <c r="A745" s="271" t="s">
        <v>347</v>
      </c>
      <c r="B745" s="1212" t="s">
        <v>2978</v>
      </c>
      <c r="C745" s="1213"/>
      <c r="D745" s="1214"/>
      <c r="E745" s="194">
        <f>+(116+351)/2</f>
        <v>233.5</v>
      </c>
      <c r="F745" s="569" t="s">
        <v>4</v>
      </c>
      <c r="G745" s="766">
        <v>3</v>
      </c>
      <c r="H745" s="746" t="s">
        <v>415</v>
      </c>
      <c r="I745" s="1372">
        <v>1.01</v>
      </c>
      <c r="J745" s="1373"/>
      <c r="K745" s="194">
        <f>+E745*I745*G745</f>
        <v>707.505</v>
      </c>
      <c r="L745" s="186" t="s">
        <v>28</v>
      </c>
      <c r="M745" s="50"/>
      <c r="N745" s="50"/>
      <c r="O745" s="5"/>
      <c r="P745" s="9"/>
      <c r="Q745" s="34"/>
      <c r="R745" s="5"/>
      <c r="S745" s="35"/>
    </row>
    <row r="746" spans="1:21" ht="30" customHeight="1" x14ac:dyDescent="0.35">
      <c r="A746" s="271"/>
      <c r="B746" s="744"/>
      <c r="C746" s="745"/>
      <c r="D746" s="746"/>
      <c r="E746" s="279"/>
      <c r="F746" s="569"/>
      <c r="G746" s="766"/>
      <c r="H746" s="746"/>
      <c r="I746" s="764"/>
      <c r="J746" s="765" t="s">
        <v>2551</v>
      </c>
      <c r="K746" s="279">
        <f>AVERAGE(K744:K745)</f>
        <v>707.88374999999996</v>
      </c>
      <c r="L746" s="186" t="s">
        <v>28</v>
      </c>
      <c r="M746" s="50"/>
      <c r="N746" s="50"/>
    </row>
    <row r="747" spans="1:21" ht="30" customHeight="1" x14ac:dyDescent="0.35">
      <c r="A747" s="186"/>
      <c r="B747" s="567"/>
      <c r="C747" s="567"/>
      <c r="D747" s="567"/>
      <c r="E747" s="194"/>
      <c r="F747" s="1215" t="s">
        <v>195</v>
      </c>
      <c r="G747" s="1273" t="s">
        <v>196</v>
      </c>
      <c r="H747" s="1273"/>
      <c r="I747" s="1273"/>
      <c r="J747" s="1273"/>
      <c r="K747" s="197">
        <v>1.05</v>
      </c>
      <c r="L747" s="186"/>
      <c r="M747" s="50"/>
      <c r="N747" s="50"/>
      <c r="O747" s="5"/>
      <c r="P747" s="9"/>
      <c r="Q747" s="34"/>
      <c r="R747" s="5"/>
      <c r="S747" s="35"/>
    </row>
    <row r="748" spans="1:21" ht="30" customHeight="1" x14ac:dyDescent="0.35">
      <c r="A748" s="186"/>
      <c r="B748" s="567"/>
      <c r="C748" s="567"/>
      <c r="D748" s="567"/>
      <c r="E748" s="194"/>
      <c r="F748" s="1216"/>
      <c r="G748" s="1268" t="s">
        <v>2477</v>
      </c>
      <c r="H748" s="1268"/>
      <c r="I748" s="1268"/>
      <c r="J748" s="1268"/>
      <c r="K748" s="197">
        <v>1.07</v>
      </c>
      <c r="L748" s="186"/>
      <c r="M748" s="97"/>
      <c r="N748" s="50"/>
      <c r="T748" s="10"/>
      <c r="U748" s="10"/>
    </row>
    <row r="749" spans="1:21" ht="30" customHeight="1" x14ac:dyDescent="0.35">
      <c r="A749" s="186"/>
      <c r="B749" s="186"/>
      <c r="C749" s="503"/>
      <c r="D749" s="503"/>
      <c r="E749" s="503"/>
      <c r="F749" s="503"/>
      <c r="G749" s="503"/>
      <c r="H749" s="503"/>
      <c r="I749" s="503"/>
      <c r="J749" s="186" t="s">
        <v>37</v>
      </c>
      <c r="K749" s="193">
        <f>+K746*K747/K748</f>
        <v>694.6522780373831</v>
      </c>
      <c r="L749" s="186" t="s">
        <v>28</v>
      </c>
      <c r="M749" s="50"/>
      <c r="N749" s="96"/>
      <c r="T749" s="10"/>
      <c r="U749" s="10"/>
    </row>
    <row r="750" spans="1:21" ht="30" customHeight="1" thickBot="1" x14ac:dyDescent="0.4">
      <c r="A750" s="186"/>
      <c r="B750" s="186"/>
      <c r="C750" s="503"/>
      <c r="D750" s="503"/>
      <c r="E750" s="503"/>
      <c r="F750" s="503"/>
      <c r="G750" s="1366" t="s">
        <v>257</v>
      </c>
      <c r="H750" s="1367"/>
      <c r="I750" s="1368"/>
      <c r="J750" s="560">
        <f>VLOOKUP(B742,'Mil Cost Premiums for PUCs'!$A$4:$R$285,18,FALSE)</f>
        <v>1.0209999999999999</v>
      </c>
      <c r="K750" s="193">
        <f>+K749*J750</f>
        <v>709.23997587616805</v>
      </c>
      <c r="L750" s="186" t="s">
        <v>28</v>
      </c>
      <c r="M750" s="50"/>
      <c r="O750" s="5"/>
      <c r="P750" s="9"/>
      <c r="Q750" s="34"/>
      <c r="R750" s="5"/>
      <c r="S750" s="35"/>
    </row>
    <row r="751" spans="1:21" ht="30" customHeight="1" thickBot="1" x14ac:dyDescent="0.4">
      <c r="A751" s="1199"/>
      <c r="B751" s="1200"/>
      <c r="C751" s="1200"/>
      <c r="D751" s="1200"/>
      <c r="E751" s="1200"/>
      <c r="F751" s="1200"/>
      <c r="G751" s="1200"/>
      <c r="H751" s="1200"/>
      <c r="I751" s="1200"/>
      <c r="J751" s="1200"/>
      <c r="K751" s="1200"/>
      <c r="L751" s="1201"/>
      <c r="M751" s="50"/>
      <c r="N751" s="50"/>
      <c r="O751" s="5"/>
      <c r="P751" s="9"/>
      <c r="Q751" s="34"/>
      <c r="R751" s="5"/>
      <c r="S751" s="35"/>
    </row>
    <row r="752" spans="1:21" ht="30" customHeight="1" x14ac:dyDescent="0.35">
      <c r="A752" s="388" t="s">
        <v>1</v>
      </c>
      <c r="B752" s="389">
        <v>1551</v>
      </c>
      <c r="C752" s="1205" t="s">
        <v>392</v>
      </c>
      <c r="D752" s="1206"/>
      <c r="E752" s="392" t="s">
        <v>3</v>
      </c>
      <c r="F752" s="393" t="s">
        <v>393</v>
      </c>
      <c r="G752" s="390" t="s">
        <v>38</v>
      </c>
      <c r="H752" s="767">
        <v>298.49812680115201</v>
      </c>
      <c r="I752" s="392" t="s">
        <v>5</v>
      </c>
      <c r="J752" s="1207" t="s">
        <v>2481</v>
      </c>
      <c r="K752" s="1207"/>
      <c r="L752" s="1208"/>
      <c r="M752" s="50"/>
      <c r="N752" s="50"/>
      <c r="O752" s="5"/>
      <c r="P752" s="9"/>
      <c r="Q752" s="34"/>
      <c r="R752" s="5"/>
      <c r="S752" s="35"/>
    </row>
    <row r="753" spans="1:21" ht="30" customHeight="1" x14ac:dyDescent="0.35">
      <c r="A753" s="494" t="s">
        <v>187</v>
      </c>
      <c r="B753" s="1280" t="s">
        <v>211</v>
      </c>
      <c r="C753" s="1281"/>
      <c r="D753" s="1282"/>
      <c r="E753" s="566" t="s">
        <v>52</v>
      </c>
      <c r="F753" s="566" t="s">
        <v>53</v>
      </c>
      <c r="G753" s="1219" t="s">
        <v>54</v>
      </c>
      <c r="H753" s="1220"/>
      <c r="I753" s="632" t="s">
        <v>188</v>
      </c>
      <c r="J753" s="632"/>
      <c r="K753" s="1209" t="s">
        <v>180</v>
      </c>
      <c r="L753" s="1210"/>
      <c r="M753" s="95"/>
      <c r="N753" s="50"/>
      <c r="O753" s="5"/>
      <c r="P753" s="9"/>
      <c r="Q753" s="34"/>
      <c r="R753" s="5"/>
      <c r="S753" s="35"/>
    </row>
    <row r="754" spans="1:21" ht="30" customHeight="1" x14ac:dyDescent="0.35">
      <c r="A754" s="186" t="s">
        <v>189</v>
      </c>
      <c r="B754" s="1212" t="s">
        <v>2698</v>
      </c>
      <c r="C754" s="1213"/>
      <c r="D754" s="1214"/>
      <c r="E754" s="194">
        <f>+(67+99.5)/2</f>
        <v>83.25</v>
      </c>
      <c r="F754" s="186" t="s">
        <v>108</v>
      </c>
      <c r="G754" s="117">
        <f>((40 /2 ) + (40 /1 ))/2</f>
        <v>30</v>
      </c>
      <c r="H754" s="554" t="s">
        <v>394</v>
      </c>
      <c r="I754" s="204">
        <v>1.1100000000000001</v>
      </c>
      <c r="J754" s="186"/>
      <c r="K754" s="194">
        <f>+E754*G754*I754</f>
        <v>2772.2250000000004</v>
      </c>
      <c r="L754" s="186" t="s">
        <v>393</v>
      </c>
      <c r="M754" s="50"/>
      <c r="N754" s="50"/>
      <c r="O754" s="5"/>
      <c r="P754" s="9"/>
      <c r="Q754" s="34"/>
      <c r="R754" s="5"/>
      <c r="S754" s="35"/>
    </row>
    <row r="755" spans="1:21" ht="30" customHeight="1" x14ac:dyDescent="0.35">
      <c r="A755" s="186"/>
      <c r="B755" s="1264" t="s">
        <v>395</v>
      </c>
      <c r="C755" s="1264"/>
      <c r="D755" s="1264"/>
      <c r="E755" s="194"/>
      <c r="F755" s="186"/>
      <c r="G755" s="768"/>
      <c r="H755" s="534"/>
      <c r="I755" s="186"/>
      <c r="J755" s="186"/>
      <c r="K755" s="194"/>
      <c r="L755" s="186"/>
      <c r="M755" s="50"/>
      <c r="N755" s="50"/>
      <c r="O755" s="5"/>
      <c r="P755" s="9"/>
      <c r="Q755" s="34"/>
      <c r="R755" s="5"/>
      <c r="S755" s="35"/>
    </row>
    <row r="756" spans="1:21" ht="30" customHeight="1" x14ac:dyDescent="0.35">
      <c r="A756" s="186"/>
      <c r="B756" s="567"/>
      <c r="C756" s="567"/>
      <c r="D756" s="769" t="s">
        <v>396</v>
      </c>
      <c r="E756" s="194"/>
      <c r="F756" s="1215" t="s">
        <v>195</v>
      </c>
      <c r="G756" s="1273" t="s">
        <v>196</v>
      </c>
      <c r="H756" s="1273"/>
      <c r="I756" s="1273"/>
      <c r="J756" s="1273"/>
      <c r="K756" s="196">
        <v>1.06</v>
      </c>
      <c r="L756" s="186"/>
      <c r="M756" s="50"/>
      <c r="N756" s="50"/>
      <c r="O756" s="5"/>
      <c r="P756" s="9"/>
      <c r="Q756" s="34"/>
      <c r="R756" s="5"/>
      <c r="S756" s="35"/>
    </row>
    <row r="757" spans="1:21" ht="30" customHeight="1" x14ac:dyDescent="0.35">
      <c r="A757" s="186"/>
      <c r="B757" s="567"/>
      <c r="C757" s="567"/>
      <c r="D757" s="567"/>
      <c r="E757" s="194"/>
      <c r="F757" s="1216"/>
      <c r="G757" s="1268" t="s">
        <v>2477</v>
      </c>
      <c r="H757" s="1268"/>
      <c r="I757" s="1268"/>
      <c r="J757" s="1268"/>
      <c r="K757" s="196">
        <v>1.05</v>
      </c>
      <c r="L757" s="186"/>
      <c r="M757" s="50"/>
      <c r="N757" s="96"/>
      <c r="O757" s="5"/>
      <c r="P757" s="9"/>
      <c r="Q757" s="34"/>
      <c r="R757" s="5"/>
      <c r="S757" s="35"/>
    </row>
    <row r="758" spans="1:21" ht="30" customHeight="1" x14ac:dyDescent="0.35">
      <c r="A758" s="186"/>
      <c r="B758" s="186"/>
      <c r="C758" s="503"/>
      <c r="D758" s="503"/>
      <c r="E758" s="503"/>
      <c r="F758" s="503"/>
      <c r="G758" s="503"/>
      <c r="H758" s="503"/>
      <c r="I758" s="503"/>
      <c r="J758" s="186" t="s">
        <v>37</v>
      </c>
      <c r="K758" s="193">
        <f>+K754*K756/K757</f>
        <v>2798.6271428571431</v>
      </c>
      <c r="L758" s="186" t="s">
        <v>393</v>
      </c>
      <c r="M758" s="50"/>
      <c r="N758" s="50"/>
      <c r="O758" s="5"/>
      <c r="P758" s="9"/>
      <c r="Q758" s="34"/>
      <c r="R758" s="5"/>
      <c r="S758" s="35"/>
    </row>
    <row r="759" spans="1:21" ht="30" customHeight="1" x14ac:dyDescent="0.35">
      <c r="A759" s="186"/>
      <c r="B759" s="186"/>
      <c r="C759" s="503"/>
      <c r="E759" s="503"/>
      <c r="F759" s="503"/>
      <c r="G759" s="1198" t="s">
        <v>257</v>
      </c>
      <c r="H759" s="1198"/>
      <c r="I759" s="1198"/>
      <c r="J759" s="560">
        <f>VLOOKUP(B752,'Mil Cost Premiums for PUCs'!$A$4:$R$285,18,FALSE)</f>
        <v>1.0905505199999999</v>
      </c>
      <c r="K759" s="193">
        <f>+K758*J759</f>
        <v>3052.0442859289715</v>
      </c>
      <c r="L759" s="186" t="s">
        <v>393</v>
      </c>
      <c r="M759" s="50"/>
      <c r="N759" s="50"/>
      <c r="O759" s="5"/>
      <c r="P759" s="9"/>
      <c r="Q759" s="34"/>
      <c r="R759" s="5"/>
      <c r="S759" s="35"/>
    </row>
    <row r="760" spans="1:21" ht="30" customHeight="1" thickBot="1" x14ac:dyDescent="0.4">
      <c r="A760" s="186"/>
      <c r="B760" s="186"/>
      <c r="C760" s="503"/>
      <c r="E760" s="503"/>
      <c r="F760" s="503"/>
      <c r="G760" s="1309" t="s">
        <v>3000</v>
      </c>
      <c r="H760" s="1310"/>
      <c r="I760" s="1311"/>
      <c r="J760" s="560">
        <v>1.0438745311870361</v>
      </c>
      <c r="K760" s="193">
        <f>+K759*J760</f>
        <v>3185.9512981361777</v>
      </c>
      <c r="L760" s="186" t="s">
        <v>393</v>
      </c>
      <c r="M760" s="50"/>
      <c r="N760" s="50"/>
      <c r="O760" s="5"/>
      <c r="P760" s="9"/>
      <c r="Q760" s="34"/>
      <c r="R760" s="5"/>
      <c r="S760" s="35"/>
    </row>
    <row r="761" spans="1:21" s="396" customFormat="1" ht="30" customHeight="1" thickBot="1" x14ac:dyDescent="0.4">
      <c r="A761" s="1199"/>
      <c r="B761" s="1200"/>
      <c r="C761" s="1200"/>
      <c r="D761" s="1200"/>
      <c r="E761" s="1200"/>
      <c r="F761" s="1200"/>
      <c r="G761" s="1200"/>
      <c r="H761" s="1200"/>
      <c r="I761" s="1200"/>
      <c r="J761" s="1200"/>
      <c r="K761" s="1200"/>
      <c r="L761" s="1201"/>
      <c r="M761" s="50"/>
      <c r="N761" s="96"/>
      <c r="O761" s="572"/>
      <c r="P761" s="384"/>
    </row>
    <row r="762" spans="1:21" ht="30" customHeight="1" x14ac:dyDescent="0.35">
      <c r="A762" s="388" t="s">
        <v>1</v>
      </c>
      <c r="B762" s="389">
        <v>1552</v>
      </c>
      <c r="C762" s="1205" t="s">
        <v>397</v>
      </c>
      <c r="D762" s="1206"/>
      <c r="E762" s="392" t="s">
        <v>3</v>
      </c>
      <c r="F762" s="393" t="s">
        <v>108</v>
      </c>
      <c r="G762" s="390" t="s">
        <v>38</v>
      </c>
      <c r="H762" s="660">
        <v>4162</v>
      </c>
      <c r="I762" s="392" t="s">
        <v>5</v>
      </c>
      <c r="J762" s="1207" t="s">
        <v>186</v>
      </c>
      <c r="K762" s="1207"/>
      <c r="L762" s="1208"/>
      <c r="M762" s="50"/>
      <c r="N762" s="50"/>
    </row>
    <row r="763" spans="1:21" ht="30" customHeight="1" x14ac:dyDescent="0.35">
      <c r="A763" s="494" t="s">
        <v>187</v>
      </c>
      <c r="B763" s="1280" t="s">
        <v>211</v>
      </c>
      <c r="C763" s="1281"/>
      <c r="D763" s="1282"/>
      <c r="E763" s="566" t="s">
        <v>52</v>
      </c>
      <c r="F763" s="566" t="s">
        <v>53</v>
      </c>
      <c r="G763" s="1219" t="s">
        <v>54</v>
      </c>
      <c r="H763" s="1220"/>
      <c r="I763" s="632" t="s">
        <v>188</v>
      </c>
      <c r="J763" s="632"/>
      <c r="K763" s="1209" t="s">
        <v>180</v>
      </c>
      <c r="L763" s="1210"/>
      <c r="M763" s="97"/>
      <c r="N763" s="50"/>
      <c r="O763" s="14"/>
    </row>
    <row r="764" spans="1:21" ht="30" customHeight="1" x14ac:dyDescent="0.35">
      <c r="A764" s="186" t="s">
        <v>398</v>
      </c>
      <c r="B764" s="1212" t="s">
        <v>399</v>
      </c>
      <c r="C764" s="1213"/>
      <c r="D764" s="1214"/>
      <c r="E764" s="194">
        <v>35</v>
      </c>
      <c r="F764" s="186" t="s">
        <v>108</v>
      </c>
      <c r="G764" s="117"/>
      <c r="H764" s="554"/>
      <c r="I764" s="204">
        <v>1.1399999999999999</v>
      </c>
      <c r="J764" s="186"/>
      <c r="K764" s="194">
        <f>+E764*I764</f>
        <v>39.9</v>
      </c>
      <c r="L764" s="186" t="s">
        <v>108</v>
      </c>
      <c r="M764" s="50"/>
      <c r="N764" s="50"/>
      <c r="T764" s="10"/>
      <c r="U764" s="10"/>
    </row>
    <row r="765" spans="1:21" ht="30" customHeight="1" x14ac:dyDescent="0.35">
      <c r="A765" s="186"/>
      <c r="B765" s="552"/>
      <c r="C765" s="553"/>
      <c r="D765" s="554"/>
      <c r="E765" s="194"/>
      <c r="F765" s="755"/>
      <c r="G765" s="117"/>
      <c r="H765" s="554"/>
      <c r="I765" s="186"/>
      <c r="J765" s="186"/>
      <c r="K765" s="194"/>
      <c r="L765" s="186"/>
      <c r="M765" s="50"/>
      <c r="N765" s="50"/>
      <c r="T765" s="10"/>
      <c r="U765" s="10"/>
    </row>
    <row r="766" spans="1:21" ht="30" customHeight="1" x14ac:dyDescent="0.35">
      <c r="A766" s="186"/>
      <c r="B766" s="567"/>
      <c r="C766" s="567"/>
      <c r="D766" s="567"/>
      <c r="E766" s="194"/>
      <c r="F766" s="1215" t="s">
        <v>195</v>
      </c>
      <c r="G766" s="1273" t="s">
        <v>196</v>
      </c>
      <c r="H766" s="1273"/>
      <c r="I766" s="1273"/>
      <c r="J766" s="1273"/>
      <c r="K766" s="196">
        <v>1.03</v>
      </c>
      <c r="L766" s="186"/>
      <c r="M766" s="50"/>
      <c r="N766" s="50"/>
    </row>
    <row r="767" spans="1:21" ht="30" customHeight="1" x14ac:dyDescent="0.35">
      <c r="A767" s="186"/>
      <c r="B767" s="567"/>
      <c r="C767" s="567"/>
      <c r="D767" s="567"/>
      <c r="E767" s="194"/>
      <c r="F767" s="1216"/>
      <c r="G767" s="1268" t="s">
        <v>197</v>
      </c>
      <c r="H767" s="1268"/>
      <c r="I767" s="1268"/>
      <c r="J767" s="1268"/>
      <c r="K767" s="196">
        <v>1.06</v>
      </c>
      <c r="L767" s="186"/>
      <c r="M767" s="97"/>
      <c r="N767" s="96"/>
    </row>
    <row r="768" spans="1:21" ht="30" customHeight="1" x14ac:dyDescent="0.35">
      <c r="A768" s="186"/>
      <c r="B768" s="186"/>
      <c r="C768" s="503"/>
      <c r="D768" s="503"/>
      <c r="E768" s="503"/>
      <c r="F768" s="503"/>
      <c r="G768" s="503"/>
      <c r="H768" s="503"/>
      <c r="I768" s="503"/>
      <c r="J768" s="503" t="s">
        <v>37</v>
      </c>
      <c r="K768" s="193">
        <f>+K764*K766/K767</f>
        <v>38.770754716981131</v>
      </c>
      <c r="L768" s="186" t="s">
        <v>108</v>
      </c>
      <c r="M768" s="50"/>
      <c r="O768" s="5"/>
      <c r="P768" s="9"/>
      <c r="Q768" s="34"/>
      <c r="R768" s="5"/>
      <c r="S768" s="35"/>
    </row>
    <row r="769" spans="1:21" ht="30" customHeight="1" x14ac:dyDescent="0.35">
      <c r="A769" s="186"/>
      <c r="B769" s="186"/>
      <c r="C769" s="503"/>
      <c r="D769" s="503"/>
      <c r="E769" s="503"/>
      <c r="F769" s="503"/>
      <c r="G769" s="1374" t="s">
        <v>257</v>
      </c>
      <c r="H769" s="1375"/>
      <c r="I769" s="1376"/>
      <c r="J769" s="560">
        <f>VLOOKUP(B762,'Mil Cost Premiums for PUCs'!$A$4:$R$285,18,FALSE)</f>
        <v>1.1223763993485734</v>
      </c>
      <c r="K769" s="193">
        <f>+K768*J769</f>
        <v>43.515380079271999</v>
      </c>
      <c r="L769" s="186" t="s">
        <v>108</v>
      </c>
      <c r="M769" s="50"/>
      <c r="N769" s="50"/>
      <c r="T769" s="10"/>
      <c r="U769" s="10"/>
    </row>
    <row r="770" spans="1:21" ht="30" customHeight="1" x14ac:dyDescent="0.35">
      <c r="A770" s="569"/>
      <c r="B770" s="569"/>
      <c r="C770" s="510"/>
      <c r="D770" s="510"/>
      <c r="E770" s="510"/>
      <c r="F770" s="510"/>
      <c r="G770" s="1191" t="s">
        <v>2817</v>
      </c>
      <c r="H770" s="1192"/>
      <c r="I770" s="1193"/>
      <c r="J770" s="570">
        <v>1.1214</v>
      </c>
      <c r="K770" s="285">
        <f>+K769*J770</f>
        <v>48.798147220895615</v>
      </c>
      <c r="L770" s="186" t="s">
        <v>108</v>
      </c>
      <c r="M770" s="50"/>
      <c r="N770" s="50"/>
      <c r="T770" s="10"/>
      <c r="U770" s="10"/>
    </row>
    <row r="771" spans="1:21" s="396" customFormat="1" ht="30" customHeight="1" thickBot="1" x14ac:dyDescent="0.4">
      <c r="A771" s="569"/>
      <c r="B771" s="569"/>
      <c r="C771" s="510"/>
      <c r="D771" s="510"/>
      <c r="E771" s="510"/>
      <c r="F771" s="510"/>
      <c r="G771" s="1191" t="s">
        <v>3000</v>
      </c>
      <c r="H771" s="1192"/>
      <c r="I771" s="1193"/>
      <c r="J771" s="570">
        <v>1.0438745311870361</v>
      </c>
      <c r="K771" s="285">
        <f>+K770*J771</f>
        <v>50.93914305300838</v>
      </c>
      <c r="L771" s="186" t="s">
        <v>108</v>
      </c>
      <c r="M771" s="50"/>
      <c r="N771" s="50"/>
      <c r="O771" s="572"/>
      <c r="P771" s="384"/>
    </row>
    <row r="772" spans="1:21" ht="30" customHeight="1" thickBot="1" x14ac:dyDescent="0.4">
      <c r="A772" s="1199"/>
      <c r="B772" s="1200"/>
      <c r="C772" s="1200"/>
      <c r="D772" s="1200"/>
      <c r="E772" s="1200"/>
      <c r="F772" s="1200"/>
      <c r="G772" s="1200"/>
      <c r="H772" s="1200"/>
      <c r="I772" s="1200"/>
      <c r="J772" s="1200"/>
      <c r="K772" s="1200"/>
      <c r="L772" s="1201"/>
      <c r="M772" s="50"/>
      <c r="N772" s="50"/>
    </row>
    <row r="773" spans="1:21" ht="30" customHeight="1" x14ac:dyDescent="0.35">
      <c r="A773" s="388" t="s">
        <v>1</v>
      </c>
      <c r="B773" s="389">
        <v>1592</v>
      </c>
      <c r="C773" s="1205" t="s">
        <v>400</v>
      </c>
      <c r="D773" s="1206"/>
      <c r="E773" s="392" t="s">
        <v>3</v>
      </c>
      <c r="F773" s="393" t="s">
        <v>40</v>
      </c>
      <c r="G773" s="390" t="s">
        <v>38</v>
      </c>
      <c r="H773" s="132">
        <v>1</v>
      </c>
      <c r="I773" s="392" t="s">
        <v>5</v>
      </c>
      <c r="J773" s="1207" t="s">
        <v>401</v>
      </c>
      <c r="K773" s="1207"/>
      <c r="L773" s="1208"/>
      <c r="M773" s="97"/>
      <c r="N773" s="50"/>
    </row>
    <row r="774" spans="1:21" ht="30" customHeight="1" x14ac:dyDescent="0.35">
      <c r="A774" s="185" t="s">
        <v>177</v>
      </c>
      <c r="B774" s="1337" t="s">
        <v>402</v>
      </c>
      <c r="C774" s="1337"/>
      <c r="D774" s="1337"/>
      <c r="E774" s="185" t="s">
        <v>52</v>
      </c>
      <c r="F774" s="185" t="s">
        <v>53</v>
      </c>
      <c r="G774" s="1219" t="s">
        <v>54</v>
      </c>
      <c r="H774" s="1220"/>
      <c r="I774" s="185" t="s">
        <v>55</v>
      </c>
      <c r="J774" s="185" t="s">
        <v>56</v>
      </c>
      <c r="K774" s="1209" t="s">
        <v>37</v>
      </c>
      <c r="L774" s="1210"/>
      <c r="M774" s="50"/>
      <c r="N774" s="50"/>
    </row>
    <row r="775" spans="1:21" ht="30" customHeight="1" x14ac:dyDescent="0.35">
      <c r="A775" s="407">
        <v>15921</v>
      </c>
      <c r="B775" s="1446" t="s">
        <v>403</v>
      </c>
      <c r="C775" s="1446"/>
      <c r="D775" s="1446"/>
      <c r="E775" s="469">
        <v>1213000</v>
      </c>
      <c r="F775" s="188" t="s">
        <v>40</v>
      </c>
      <c r="G775" s="1525"/>
      <c r="H775" s="1525"/>
      <c r="I775" s="188">
        <v>0.96</v>
      </c>
      <c r="J775" s="770">
        <f>+'FY2024 MILCON Inflation Table'!F16</f>
        <v>1.2817196193982925</v>
      </c>
      <c r="K775" s="471">
        <f>+E775/I775*J775</f>
        <v>1619506.1440938842</v>
      </c>
      <c r="L775" s="188" t="s">
        <v>40</v>
      </c>
      <c r="M775" s="50"/>
      <c r="N775" s="50"/>
      <c r="O775" s="539"/>
    </row>
    <row r="776" spans="1:21" ht="30" customHeight="1" x14ac:dyDescent="0.35">
      <c r="A776" s="407">
        <v>15921</v>
      </c>
      <c r="B776" s="1446" t="s">
        <v>404</v>
      </c>
      <c r="C776" s="1446"/>
      <c r="D776" s="1446"/>
      <c r="E776" s="462">
        <v>1215943</v>
      </c>
      <c r="F776" s="188" t="s">
        <v>40</v>
      </c>
      <c r="G776" s="677"/>
      <c r="H776" s="677"/>
      <c r="I776" s="463">
        <v>1.17</v>
      </c>
      <c r="J776" s="770">
        <f>+'FY2024 MILCON Inflation Table'!F16</f>
        <v>1.2817196193982925</v>
      </c>
      <c r="K776" s="471">
        <f>+E776/I776*J776</f>
        <v>1332049.5719401862</v>
      </c>
      <c r="L776" s="188" t="s">
        <v>40</v>
      </c>
      <c r="M776" s="50"/>
      <c r="N776" s="50"/>
      <c r="O776" s="539"/>
      <c r="T776" s="10"/>
      <c r="U776" s="10"/>
    </row>
    <row r="777" spans="1:21" ht="30" customHeight="1" x14ac:dyDescent="0.35">
      <c r="A777" s="407">
        <v>15921</v>
      </c>
      <c r="B777" s="1446" t="s">
        <v>405</v>
      </c>
      <c r="C777" s="1446"/>
      <c r="D777" s="1446"/>
      <c r="E777" s="462">
        <v>2826000</v>
      </c>
      <c r="F777" s="188" t="s">
        <v>40</v>
      </c>
      <c r="G777" s="677"/>
      <c r="H777" s="677"/>
      <c r="I777" s="463">
        <v>2.75</v>
      </c>
      <c r="J777" s="677">
        <f>+'FY2024 MILCON Inflation Table'!F18</f>
        <v>1.1706170972389343</v>
      </c>
      <c r="K777" s="471">
        <f>+E777/I777*J777</f>
        <v>1202968.697017174</v>
      </c>
      <c r="L777" s="188" t="s">
        <v>40</v>
      </c>
      <c r="M777" s="50"/>
      <c r="N777" s="50"/>
      <c r="T777" s="10"/>
      <c r="U777" s="10"/>
    </row>
    <row r="778" spans="1:21" ht="30" customHeight="1" thickBot="1" x14ac:dyDescent="0.4">
      <c r="A778" s="1526" t="s">
        <v>2460</v>
      </c>
      <c r="B778" s="1526"/>
      <c r="C778" s="1526"/>
      <c r="D778" s="1526"/>
      <c r="E778" s="1526"/>
      <c r="F778" s="1526"/>
      <c r="G778" s="677"/>
      <c r="H778" s="677"/>
      <c r="I778" s="463"/>
      <c r="J778" s="677" t="s">
        <v>406</v>
      </c>
      <c r="K778" s="465">
        <f>AVERAGE(K775:K777)</f>
        <v>1384841.4710170815</v>
      </c>
      <c r="L778" s="463" t="s">
        <v>40</v>
      </c>
      <c r="M778" s="50"/>
      <c r="N778" s="50"/>
      <c r="T778" s="10"/>
      <c r="U778" s="10"/>
    </row>
    <row r="779" spans="1:21" s="396" customFormat="1" ht="30" customHeight="1" thickBot="1" x14ac:dyDescent="0.4">
      <c r="A779" s="1518"/>
      <c r="B779" s="1519"/>
      <c r="C779" s="1519"/>
      <c r="D779" s="1519"/>
      <c r="E779" s="1519"/>
      <c r="F779" s="1519"/>
      <c r="G779" s="1519"/>
      <c r="H779" s="1519"/>
      <c r="I779" s="1519"/>
      <c r="J779" s="1519"/>
      <c r="K779" s="1519"/>
      <c r="L779" s="1520"/>
      <c r="M779" s="50"/>
      <c r="N779" s="50"/>
      <c r="O779" s="572"/>
      <c r="P779" s="384"/>
    </row>
    <row r="780" spans="1:21" ht="30" customHeight="1" x14ac:dyDescent="0.35">
      <c r="A780" s="455" t="s">
        <v>1</v>
      </c>
      <c r="B780" s="439">
        <v>1593</v>
      </c>
      <c r="C780" s="1384" t="s">
        <v>407</v>
      </c>
      <c r="D780" s="1385"/>
      <c r="E780" s="456" t="s">
        <v>3</v>
      </c>
      <c r="F780" s="457" t="s">
        <v>4</v>
      </c>
      <c r="G780" s="771" t="s">
        <v>2</v>
      </c>
      <c r="H780" s="47">
        <v>900</v>
      </c>
      <c r="I780" s="456" t="s">
        <v>5</v>
      </c>
      <c r="J780" s="1207" t="s">
        <v>2481</v>
      </c>
      <c r="K780" s="1207"/>
      <c r="L780" s="1208"/>
      <c r="M780" s="50"/>
      <c r="N780" s="50"/>
    </row>
    <row r="781" spans="1:21" ht="30" customHeight="1" x14ac:dyDescent="0.35">
      <c r="A781" s="494" t="s">
        <v>187</v>
      </c>
      <c r="B781" s="1280" t="s">
        <v>211</v>
      </c>
      <c r="C781" s="1281"/>
      <c r="D781" s="1282"/>
      <c r="E781" s="566" t="s">
        <v>52</v>
      </c>
      <c r="F781" s="566" t="s">
        <v>53</v>
      </c>
      <c r="G781" s="1219" t="s">
        <v>54</v>
      </c>
      <c r="H781" s="1220"/>
      <c r="I781" s="185" t="s">
        <v>188</v>
      </c>
      <c r="J781" s="185"/>
      <c r="K781" s="1209" t="s">
        <v>180</v>
      </c>
      <c r="L781" s="1210"/>
      <c r="M781" s="50"/>
      <c r="N781" s="50"/>
      <c r="O781" s="14"/>
    </row>
    <row r="782" spans="1:21" ht="30" customHeight="1" x14ac:dyDescent="0.35">
      <c r="A782" s="186" t="s">
        <v>345</v>
      </c>
      <c r="B782" s="1202" t="s">
        <v>408</v>
      </c>
      <c r="C782" s="1203"/>
      <c r="D782" s="1204"/>
      <c r="E782" s="733">
        <f>+(7.96+9.3)/2</f>
        <v>8.6300000000000008</v>
      </c>
      <c r="F782" s="422" t="s">
        <v>108</v>
      </c>
      <c r="G782" s="772">
        <v>9</v>
      </c>
      <c r="H782" s="708" t="s">
        <v>387</v>
      </c>
      <c r="I782" s="773">
        <v>1.28</v>
      </c>
      <c r="J782" s="186"/>
      <c r="K782" s="733">
        <f>+E782*G782*I782</f>
        <v>99.417600000000007</v>
      </c>
      <c r="L782" s="422" t="s">
        <v>4</v>
      </c>
      <c r="M782" s="50"/>
      <c r="N782" s="50"/>
      <c r="T782" s="10"/>
      <c r="U782" s="10"/>
    </row>
    <row r="783" spans="1:21" ht="30" customHeight="1" x14ac:dyDescent="0.35">
      <c r="A783" s="186" t="s">
        <v>345</v>
      </c>
      <c r="B783" s="1202" t="s">
        <v>409</v>
      </c>
      <c r="C783" s="1203"/>
      <c r="D783" s="1204"/>
      <c r="E783" s="7">
        <f>(0.77+0.92)/2</f>
        <v>0.84499999999999997</v>
      </c>
      <c r="F783" s="422" t="s">
        <v>108</v>
      </c>
      <c r="G783" s="772">
        <v>9</v>
      </c>
      <c r="H783" s="708" t="s">
        <v>387</v>
      </c>
      <c r="I783" s="773">
        <v>1.28</v>
      </c>
      <c r="J783" s="186"/>
      <c r="K783" s="733">
        <f>+E783*G783*I783</f>
        <v>9.7343999999999991</v>
      </c>
      <c r="L783" s="422" t="s">
        <v>4</v>
      </c>
      <c r="M783" s="50"/>
      <c r="N783" s="50"/>
      <c r="T783" s="10"/>
      <c r="U783" s="10"/>
    </row>
    <row r="784" spans="1:21" ht="30" customHeight="1" x14ac:dyDescent="0.35">
      <c r="A784" s="186" t="s">
        <v>391</v>
      </c>
      <c r="B784" s="1212" t="s">
        <v>2849</v>
      </c>
      <c r="C784" s="1213"/>
      <c r="D784" s="1214"/>
      <c r="E784" s="194">
        <f>(57*8*12)+(16100)/8</f>
        <v>7484.5</v>
      </c>
      <c r="F784" s="186" t="s">
        <v>40</v>
      </c>
      <c r="G784" s="774">
        <f>8/H780</f>
        <v>8.8888888888888889E-3</v>
      </c>
      <c r="H784" s="714" t="s">
        <v>410</v>
      </c>
      <c r="I784" s="773">
        <v>1.31</v>
      </c>
      <c r="J784" s="186"/>
      <c r="K784" s="733">
        <f>+E784*G784*I784</f>
        <v>87.15284444444444</v>
      </c>
      <c r="L784" s="422" t="s">
        <v>4</v>
      </c>
      <c r="M784" s="50"/>
      <c r="N784" s="50"/>
    </row>
    <row r="785" spans="1:21" ht="30" customHeight="1" x14ac:dyDescent="0.35">
      <c r="A785" s="186" t="s">
        <v>391</v>
      </c>
      <c r="B785" s="1369" t="s">
        <v>2699</v>
      </c>
      <c r="C785" s="1370"/>
      <c r="D785" s="1371"/>
      <c r="E785" s="279">
        <f>+(33.75+47.25)/2</f>
        <v>40.5</v>
      </c>
      <c r="F785" s="271" t="s">
        <v>108</v>
      </c>
      <c r="G785" s="775">
        <f>200/H780</f>
        <v>0.22222222222222221</v>
      </c>
      <c r="H785" s="776" t="s">
        <v>387</v>
      </c>
      <c r="I785" s="777">
        <v>1.31</v>
      </c>
      <c r="J785" s="271"/>
      <c r="K785" s="733">
        <f>+E785*G785*I785</f>
        <v>11.790000000000001</v>
      </c>
      <c r="L785" s="422" t="s">
        <v>4</v>
      </c>
      <c r="M785" s="50"/>
      <c r="N785" s="50"/>
    </row>
    <row r="786" spans="1:21" ht="30" customHeight="1" x14ac:dyDescent="0.35">
      <c r="A786" s="503"/>
      <c r="B786" s="1211"/>
      <c r="C786" s="1211"/>
      <c r="D786" s="1211"/>
      <c r="E786" s="194"/>
      <c r="F786" s="186"/>
      <c r="G786" s="186"/>
      <c r="H786" s="186"/>
      <c r="I786" s="186"/>
      <c r="J786" s="186" t="s">
        <v>251</v>
      </c>
      <c r="K786" s="194">
        <f>SUM(K782:K785)</f>
        <v>208.09484444444442</v>
      </c>
      <c r="L786" s="422" t="s">
        <v>4</v>
      </c>
      <c r="M786" s="50"/>
      <c r="N786" s="50"/>
    </row>
    <row r="787" spans="1:21" ht="30" customHeight="1" x14ac:dyDescent="0.35">
      <c r="A787" s="186"/>
      <c r="B787" s="567"/>
      <c r="C787" s="567"/>
      <c r="D787" s="567"/>
      <c r="E787" s="194"/>
      <c r="F787" s="1215" t="s">
        <v>195</v>
      </c>
      <c r="G787" s="1273" t="s">
        <v>196</v>
      </c>
      <c r="H787" s="1273"/>
      <c r="I787" s="1273"/>
      <c r="J787" s="1273"/>
      <c r="K787" s="196">
        <v>1.06</v>
      </c>
      <c r="L787" s="186"/>
      <c r="M787" s="50"/>
      <c r="N787" s="50"/>
      <c r="O787" s="539"/>
      <c r="T787" s="10"/>
      <c r="U787" s="10"/>
    </row>
    <row r="788" spans="1:21" ht="30" customHeight="1" x14ac:dyDescent="0.35">
      <c r="A788" s="186"/>
      <c r="B788" s="567"/>
      <c r="C788" s="567"/>
      <c r="D788" s="567"/>
      <c r="E788" s="194"/>
      <c r="F788" s="1216"/>
      <c r="G788" s="1268" t="s">
        <v>2477</v>
      </c>
      <c r="H788" s="1268"/>
      <c r="I788" s="1268"/>
      <c r="J788" s="1268"/>
      <c r="K788" s="196">
        <v>1.05</v>
      </c>
      <c r="L788" s="186"/>
      <c r="M788" s="50"/>
      <c r="N788" s="96"/>
      <c r="O788" s="539"/>
      <c r="T788" s="10"/>
      <c r="U788" s="10"/>
    </row>
    <row r="789" spans="1:21" s="396" customFormat="1" ht="30" customHeight="1" x14ac:dyDescent="0.35">
      <c r="A789" s="503"/>
      <c r="B789" s="186"/>
      <c r="C789" s="503"/>
      <c r="D789" s="503"/>
      <c r="E789" s="503"/>
      <c r="F789" s="503"/>
      <c r="G789" s="503"/>
      <c r="H789" s="503"/>
      <c r="I789" s="503"/>
      <c r="J789" s="503" t="s">
        <v>37</v>
      </c>
      <c r="K789" s="193">
        <f>+K786*K787/K788</f>
        <v>210.07670010582007</v>
      </c>
      <c r="L789" s="422" t="s">
        <v>4</v>
      </c>
      <c r="M789" s="50"/>
      <c r="N789" s="50"/>
      <c r="O789" s="572"/>
      <c r="P789" s="384"/>
    </row>
    <row r="790" spans="1:21" ht="30" customHeight="1" x14ac:dyDescent="0.35">
      <c r="A790" s="503"/>
      <c r="B790" s="186"/>
      <c r="C790" s="503"/>
      <c r="D790" s="503"/>
      <c r="E790" s="503"/>
      <c r="F790" s="503"/>
      <c r="G790" s="1198" t="s">
        <v>257</v>
      </c>
      <c r="H790" s="1198"/>
      <c r="I790" s="1198"/>
      <c r="J790" s="560">
        <f>VLOOKUP(B780,'Mil Cost Premiums for PUCs'!$A$4:$R$285,18,FALSE)</f>
        <v>1.0209999999999999</v>
      </c>
      <c r="K790" s="193">
        <f>+K789*J790</f>
        <v>214.48831080804226</v>
      </c>
      <c r="L790" s="422" t="s">
        <v>4</v>
      </c>
      <c r="M790" s="96"/>
      <c r="N790" s="50"/>
    </row>
    <row r="791" spans="1:21" ht="30" customHeight="1" thickBot="1" x14ac:dyDescent="0.4">
      <c r="A791" s="503"/>
      <c r="B791" s="186"/>
      <c r="C791" s="503"/>
      <c r="D791" s="503"/>
      <c r="E791" s="503"/>
      <c r="F791" s="503"/>
      <c r="G791" s="1309" t="s">
        <v>3000</v>
      </c>
      <c r="H791" s="1310"/>
      <c r="I791" s="1311"/>
      <c r="J791" s="560">
        <v>1.0438745311870361</v>
      </c>
      <c r="K791" s="193">
        <f>+K790*J791</f>
        <v>223.8988848898444</v>
      </c>
      <c r="L791" s="422" t="s">
        <v>4</v>
      </c>
      <c r="M791" s="96"/>
      <c r="N791" s="50"/>
      <c r="T791" s="10"/>
      <c r="U791" s="10"/>
    </row>
    <row r="792" spans="1:21" ht="30" customHeight="1" thickBot="1" x14ac:dyDescent="0.4">
      <c r="A792" s="1199"/>
      <c r="B792" s="1200"/>
      <c r="C792" s="1200"/>
      <c r="D792" s="1200"/>
      <c r="E792" s="1200"/>
      <c r="F792" s="1200"/>
      <c r="G792" s="1200"/>
      <c r="H792" s="1200"/>
      <c r="I792" s="1200"/>
      <c r="J792" s="1200"/>
      <c r="K792" s="1200"/>
      <c r="L792" s="1201"/>
      <c r="M792" s="50"/>
      <c r="N792" s="50"/>
      <c r="T792" s="10"/>
      <c r="U792" s="10"/>
    </row>
    <row r="793" spans="1:21" s="396" customFormat="1" ht="30" customHeight="1" x14ac:dyDescent="0.35">
      <c r="A793" s="388" t="s">
        <v>1</v>
      </c>
      <c r="B793" s="389">
        <v>1611</v>
      </c>
      <c r="C793" s="1205" t="s">
        <v>411</v>
      </c>
      <c r="D793" s="1206"/>
      <c r="E793" s="392" t="s">
        <v>3</v>
      </c>
      <c r="F793" s="393" t="s">
        <v>40</v>
      </c>
      <c r="G793" s="390" t="s">
        <v>38</v>
      </c>
      <c r="H793" s="132">
        <v>1</v>
      </c>
      <c r="I793" s="392" t="s">
        <v>5</v>
      </c>
      <c r="J793" s="1207" t="s">
        <v>2790</v>
      </c>
      <c r="K793" s="1207"/>
      <c r="L793" s="1208"/>
      <c r="M793" s="97"/>
      <c r="N793" s="50"/>
      <c r="O793" s="572"/>
      <c r="P793" s="384"/>
    </row>
    <row r="794" spans="1:21" ht="30" customHeight="1" x14ac:dyDescent="0.35">
      <c r="A794" s="185"/>
      <c r="B794" s="1337" t="s">
        <v>2781</v>
      </c>
      <c r="C794" s="1337"/>
      <c r="D794" s="1337"/>
      <c r="E794" s="185" t="s">
        <v>52</v>
      </c>
      <c r="F794" s="185" t="s">
        <v>53</v>
      </c>
      <c r="G794" s="1219" t="s">
        <v>54</v>
      </c>
      <c r="H794" s="1220"/>
      <c r="I794" s="185" t="s">
        <v>55</v>
      </c>
      <c r="J794" s="185" t="s">
        <v>56</v>
      </c>
      <c r="K794" s="1209" t="s">
        <v>37</v>
      </c>
      <c r="L794" s="1210"/>
      <c r="M794" s="50"/>
      <c r="N794" s="96"/>
    </row>
    <row r="795" spans="1:21" ht="30" customHeight="1" thickBot="1" x14ac:dyDescent="0.4">
      <c r="A795" s="461"/>
      <c r="B795" s="1515">
        <v>797624.68228598498</v>
      </c>
      <c r="C795" s="1515"/>
      <c r="D795" s="1515"/>
      <c r="E795" s="462"/>
      <c r="F795" s="463"/>
      <c r="G795" s="1516"/>
      <c r="H795" s="1517"/>
      <c r="I795" s="463"/>
      <c r="J795" s="464">
        <f>+'FY2024 MILCON Inflation Table'!F18</f>
        <v>1.1706170972389343</v>
      </c>
      <c r="K795" s="465">
        <f>B795*J795</f>
        <v>933713.09026374691</v>
      </c>
      <c r="L795" s="463" t="s">
        <v>40</v>
      </c>
      <c r="M795" s="50"/>
      <c r="N795" s="50"/>
    </row>
    <row r="796" spans="1:21" ht="30" customHeight="1" thickBot="1" x14ac:dyDescent="0.4">
      <c r="A796" s="1518"/>
      <c r="B796" s="1519"/>
      <c r="C796" s="1519"/>
      <c r="D796" s="1519"/>
      <c r="E796" s="1519"/>
      <c r="F796" s="1519"/>
      <c r="G796" s="1519"/>
      <c r="H796" s="1519"/>
      <c r="I796" s="1519"/>
      <c r="J796" s="1519"/>
      <c r="K796" s="1519"/>
      <c r="L796" s="1520"/>
      <c r="M796" s="50"/>
      <c r="N796" s="50"/>
      <c r="T796" s="10"/>
      <c r="U796" s="10"/>
    </row>
    <row r="797" spans="1:21" ht="30" customHeight="1" x14ac:dyDescent="0.35">
      <c r="A797" s="455" t="s">
        <v>1</v>
      </c>
      <c r="B797" s="439">
        <v>1631</v>
      </c>
      <c r="C797" s="1384" t="s">
        <v>412</v>
      </c>
      <c r="D797" s="1385"/>
      <c r="E797" s="456" t="s">
        <v>3</v>
      </c>
      <c r="F797" s="457" t="s">
        <v>40</v>
      </c>
      <c r="G797" s="468" t="s">
        <v>38</v>
      </c>
      <c r="H797" s="47">
        <v>5</v>
      </c>
      <c r="I797" s="456" t="s">
        <v>5</v>
      </c>
      <c r="J797" s="1411" t="s">
        <v>2791</v>
      </c>
      <c r="K797" s="1411"/>
      <c r="L797" s="1412"/>
      <c r="M797" s="97"/>
      <c r="T797" s="10"/>
      <c r="U797" s="10"/>
    </row>
    <row r="798" spans="1:21" s="396" customFormat="1" ht="30" customHeight="1" x14ac:dyDescent="0.35">
      <c r="A798" s="185"/>
      <c r="B798" s="1337" t="s">
        <v>2781</v>
      </c>
      <c r="C798" s="1337"/>
      <c r="D798" s="1337"/>
      <c r="E798" s="185" t="s">
        <v>52</v>
      </c>
      <c r="F798" s="185" t="s">
        <v>53</v>
      </c>
      <c r="G798" s="1219" t="s">
        <v>54</v>
      </c>
      <c r="H798" s="1220"/>
      <c r="I798" s="185" t="s">
        <v>55</v>
      </c>
      <c r="J798" s="185" t="s">
        <v>56</v>
      </c>
      <c r="K798" s="1209" t="s">
        <v>37</v>
      </c>
      <c r="L798" s="1210"/>
      <c r="M798" s="96"/>
      <c r="O798" s="572"/>
      <c r="P798" s="384"/>
    </row>
    <row r="799" spans="1:21" ht="30" customHeight="1" thickBot="1" x14ac:dyDescent="0.4">
      <c r="A799" s="461"/>
      <c r="B799" s="1515">
        <v>16980.315871021401</v>
      </c>
      <c r="C799" s="1515"/>
      <c r="D799" s="1515"/>
      <c r="E799" s="462"/>
      <c r="F799" s="463"/>
      <c r="G799" s="1516"/>
      <c r="H799" s="1517"/>
      <c r="I799" s="463"/>
      <c r="J799" s="464">
        <v>1.1706000000000001</v>
      </c>
      <c r="K799" s="465">
        <f>B799*J799</f>
        <v>19877.157758617654</v>
      </c>
      <c r="L799" s="463" t="s">
        <v>40</v>
      </c>
      <c r="M799" s="50"/>
      <c r="N799" s="50"/>
    </row>
    <row r="800" spans="1:21" ht="30" customHeight="1" thickBot="1" x14ac:dyDescent="0.4">
      <c r="A800" s="1518"/>
      <c r="B800" s="1519"/>
      <c r="C800" s="1519"/>
      <c r="D800" s="1519"/>
      <c r="E800" s="1519"/>
      <c r="F800" s="1519"/>
      <c r="G800" s="1519"/>
      <c r="H800" s="1519"/>
      <c r="I800" s="1519"/>
      <c r="J800" s="1519"/>
      <c r="K800" s="1519"/>
      <c r="L800" s="1520"/>
      <c r="M800" s="50"/>
      <c r="N800" s="50"/>
      <c r="O800" s="14"/>
    </row>
    <row r="801" spans="1:21" ht="30" customHeight="1" x14ac:dyDescent="0.35">
      <c r="A801" s="455" t="s">
        <v>1</v>
      </c>
      <c r="B801" s="439">
        <v>1641</v>
      </c>
      <c r="C801" s="1384" t="s">
        <v>413</v>
      </c>
      <c r="D801" s="1385"/>
      <c r="E801" s="456" t="s">
        <v>3</v>
      </c>
      <c r="F801" s="457" t="s">
        <v>28</v>
      </c>
      <c r="G801" s="468" t="s">
        <v>38</v>
      </c>
      <c r="H801" s="779">
        <v>1406</v>
      </c>
      <c r="I801" s="456" t="s">
        <v>5</v>
      </c>
      <c r="J801" s="1411" t="s">
        <v>2874</v>
      </c>
      <c r="K801" s="1411"/>
      <c r="L801" s="1412"/>
      <c r="M801" s="50"/>
      <c r="N801" s="50"/>
      <c r="T801" s="10"/>
      <c r="U801" s="10"/>
    </row>
    <row r="802" spans="1:21" ht="30" customHeight="1" x14ac:dyDescent="0.35">
      <c r="A802" s="494" t="s">
        <v>187</v>
      </c>
      <c r="B802" s="1280" t="s">
        <v>211</v>
      </c>
      <c r="C802" s="1281"/>
      <c r="D802" s="1282"/>
      <c r="E802" s="566" t="s">
        <v>52</v>
      </c>
      <c r="F802" s="566" t="s">
        <v>53</v>
      </c>
      <c r="G802" s="1219" t="s">
        <v>54</v>
      </c>
      <c r="H802" s="1220"/>
      <c r="I802" s="632" t="s">
        <v>188</v>
      </c>
      <c r="J802" s="632"/>
      <c r="K802" s="1209" t="s">
        <v>180</v>
      </c>
      <c r="L802" s="1210"/>
      <c r="M802" s="50"/>
      <c r="N802" s="50"/>
      <c r="T802" s="10"/>
      <c r="U802" s="10"/>
    </row>
    <row r="803" spans="1:21" s="396" customFormat="1" ht="30" customHeight="1" x14ac:dyDescent="0.35">
      <c r="A803" s="186" t="s">
        <v>391</v>
      </c>
      <c r="B803" s="1212" t="s">
        <v>2923</v>
      </c>
      <c r="C803" s="1213"/>
      <c r="D803" s="1214"/>
      <c r="E803" s="194">
        <f>+((770+1270)/2)*1.5</f>
        <v>1530</v>
      </c>
      <c r="F803" s="186" t="s">
        <v>28</v>
      </c>
      <c r="G803" s="780">
        <v>0.5</v>
      </c>
      <c r="H803" s="554" t="s">
        <v>414</v>
      </c>
      <c r="I803" s="186">
        <v>1.01</v>
      </c>
      <c r="J803" s="204"/>
      <c r="K803" s="194">
        <f>+E803*I803*G803</f>
        <v>772.65</v>
      </c>
      <c r="L803" s="186" t="s">
        <v>28</v>
      </c>
      <c r="M803" s="50"/>
      <c r="N803" s="50"/>
      <c r="O803" s="572"/>
      <c r="P803" s="384"/>
    </row>
    <row r="804" spans="1:21" ht="30" customHeight="1" x14ac:dyDescent="0.35">
      <c r="A804" s="186" t="s">
        <v>391</v>
      </c>
      <c r="B804" s="1212" t="s">
        <v>2924</v>
      </c>
      <c r="C804" s="1213"/>
      <c r="D804" s="1214"/>
      <c r="E804" s="279">
        <f>(143+(54500/H801))*1.5</f>
        <v>272.6436699857752</v>
      </c>
      <c r="F804" s="271" t="s">
        <v>28</v>
      </c>
      <c r="G804" s="781"/>
      <c r="H804" s="746"/>
      <c r="I804" s="186">
        <v>1.01</v>
      </c>
      <c r="J804" s="782"/>
      <c r="K804" s="279">
        <f>+E804*I804</f>
        <v>275.37010668563295</v>
      </c>
      <c r="L804" s="186" t="s">
        <v>28</v>
      </c>
      <c r="M804" s="50"/>
      <c r="N804" s="53"/>
    </row>
    <row r="805" spans="1:21" ht="30" customHeight="1" x14ac:dyDescent="0.35">
      <c r="A805" s="186" t="s">
        <v>347</v>
      </c>
      <c r="B805" s="1212" t="s">
        <v>2925</v>
      </c>
      <c r="C805" s="1213"/>
      <c r="D805" s="1214"/>
      <c r="E805" s="194">
        <f>(112+159)/2</f>
        <v>135.5</v>
      </c>
      <c r="F805" s="186" t="s">
        <v>4</v>
      </c>
      <c r="G805" s="186">
        <v>6.67</v>
      </c>
      <c r="H805" s="186" t="s">
        <v>415</v>
      </c>
      <c r="I805" s="186">
        <v>1.01</v>
      </c>
      <c r="J805" s="204"/>
      <c r="K805" s="194">
        <f>+E805*G805*I805</f>
        <v>912.82285000000002</v>
      </c>
      <c r="L805" s="186" t="s">
        <v>28</v>
      </c>
      <c r="M805" s="50"/>
      <c r="N805" s="37"/>
      <c r="O805" s="14"/>
    </row>
    <row r="806" spans="1:21" ht="30" customHeight="1" x14ac:dyDescent="0.35">
      <c r="A806" s="186"/>
      <c r="B806" s="186"/>
      <c r="C806" s="503"/>
      <c r="D806" s="503"/>
      <c r="E806" s="503"/>
      <c r="F806" s="503"/>
      <c r="G806" s="503"/>
      <c r="H806" s="503"/>
      <c r="I806" s="503"/>
      <c r="J806" s="186" t="s">
        <v>192</v>
      </c>
      <c r="K806" s="193">
        <f>AVERAGE(K803:K805)</f>
        <v>653.614318895211</v>
      </c>
      <c r="L806" s="186" t="s">
        <v>28</v>
      </c>
      <c r="M806" s="50"/>
      <c r="N806" s="785"/>
      <c r="T806" s="10"/>
      <c r="U806" s="10"/>
    </row>
    <row r="807" spans="1:21" ht="30" customHeight="1" x14ac:dyDescent="0.35">
      <c r="A807" s="186"/>
      <c r="B807" s="567"/>
      <c r="C807" s="567"/>
      <c r="D807" s="567"/>
      <c r="E807" s="194"/>
      <c r="F807" s="1215" t="s">
        <v>195</v>
      </c>
      <c r="G807" s="1273" t="s">
        <v>196</v>
      </c>
      <c r="H807" s="1273"/>
      <c r="I807" s="1273"/>
      <c r="J807" s="1273"/>
      <c r="K807" s="196">
        <v>1.05</v>
      </c>
      <c r="L807" s="186"/>
      <c r="M807" s="50"/>
      <c r="N807" s="53"/>
      <c r="T807" s="10"/>
      <c r="U807" s="10"/>
    </row>
    <row r="808" spans="1:21" s="396" customFormat="1" ht="30" customHeight="1" x14ac:dyDescent="0.35">
      <c r="A808" s="186"/>
      <c r="B808" s="567"/>
      <c r="C808" s="567"/>
      <c r="D808" s="567"/>
      <c r="E808" s="194"/>
      <c r="F808" s="1216"/>
      <c r="G808" s="1268" t="s">
        <v>276</v>
      </c>
      <c r="H808" s="1268"/>
      <c r="I808" s="1268"/>
      <c r="J808" s="1268"/>
      <c r="K808" s="196">
        <v>1.07</v>
      </c>
      <c r="L808" s="186"/>
      <c r="M808" s="50"/>
      <c r="N808" s="50"/>
      <c r="O808" s="572"/>
      <c r="P808" s="384"/>
    </row>
    <row r="809" spans="1:21" ht="30" customHeight="1" x14ac:dyDescent="0.35">
      <c r="A809" s="186"/>
      <c r="B809" s="186"/>
      <c r="C809" s="503"/>
      <c r="D809" s="503"/>
      <c r="E809" s="503"/>
      <c r="F809" s="503"/>
      <c r="G809" s="1374"/>
      <c r="H809" s="1375"/>
      <c r="I809" s="1376"/>
      <c r="J809" s="783" t="s">
        <v>37</v>
      </c>
      <c r="K809" s="193">
        <f>+K806*K807/K808</f>
        <v>641.39722882240324</v>
      </c>
      <c r="L809" s="186" t="s">
        <v>28</v>
      </c>
      <c r="M809" s="96"/>
      <c r="N809" s="50"/>
      <c r="O809" s="724"/>
    </row>
    <row r="810" spans="1:21" ht="30" customHeight="1" thickBot="1" x14ac:dyDescent="0.4">
      <c r="A810" s="569"/>
      <c r="B810" s="569"/>
      <c r="C810" s="510"/>
      <c r="D810" s="510"/>
      <c r="E810" s="510"/>
      <c r="F810" s="510"/>
      <c r="G810" s="1366" t="s">
        <v>257</v>
      </c>
      <c r="H810" s="1367"/>
      <c r="I810" s="1368"/>
      <c r="J810" s="570">
        <f>VLOOKUP(B801,'Mil Cost Premiums for PUCs'!$A$4:$R$285,18,FALSE)</f>
        <v>1.0485669999999998</v>
      </c>
      <c r="K810" s="285">
        <f>K809*J810</f>
        <v>672.54796803462079</v>
      </c>
      <c r="L810" s="186" t="s">
        <v>28</v>
      </c>
      <c r="M810" s="50"/>
      <c r="N810" s="50"/>
    </row>
    <row r="811" spans="1:21" ht="30" customHeight="1" thickBot="1" x14ac:dyDescent="0.4">
      <c r="A811" s="1199"/>
      <c r="B811" s="1200"/>
      <c r="C811" s="1200"/>
      <c r="D811" s="1200"/>
      <c r="E811" s="1200"/>
      <c r="F811" s="1200"/>
      <c r="G811" s="1200"/>
      <c r="H811" s="1200"/>
      <c r="I811" s="1200"/>
      <c r="J811" s="1200"/>
      <c r="K811" s="1200"/>
      <c r="L811" s="1201"/>
      <c r="M811" s="50"/>
      <c r="N811" s="50"/>
      <c r="O811" s="14"/>
    </row>
    <row r="812" spans="1:21" ht="30" customHeight="1" x14ac:dyDescent="0.35">
      <c r="A812" s="388" t="s">
        <v>1</v>
      </c>
      <c r="B812" s="389">
        <v>1711</v>
      </c>
      <c r="C812" s="1290" t="s">
        <v>416</v>
      </c>
      <c r="D812" s="1291"/>
      <c r="E812" s="392" t="s">
        <v>3</v>
      </c>
      <c r="F812" s="393" t="s">
        <v>108</v>
      </c>
      <c r="G812" s="390" t="s">
        <v>38</v>
      </c>
      <c r="H812" s="195">
        <v>87312.278242659493</v>
      </c>
      <c r="I812" s="392" t="s">
        <v>5</v>
      </c>
      <c r="J812" s="1304" t="s">
        <v>2861</v>
      </c>
      <c r="K812" s="1305"/>
      <c r="L812" s="1306"/>
      <c r="M812" s="50"/>
      <c r="N812" s="50"/>
      <c r="T812" s="10"/>
      <c r="U812" s="10"/>
    </row>
    <row r="813" spans="1:21" ht="30" customHeight="1" x14ac:dyDescent="0.35">
      <c r="A813" s="185" t="s">
        <v>177</v>
      </c>
      <c r="B813" s="1272" t="s">
        <v>7</v>
      </c>
      <c r="C813" s="1272"/>
      <c r="D813" s="1272"/>
      <c r="E813" s="492" t="s">
        <v>178</v>
      </c>
      <c r="F813" s="397" t="s">
        <v>52</v>
      </c>
      <c r="G813" s="185"/>
      <c r="H813" s="185"/>
      <c r="I813" s="1221" t="s">
        <v>179</v>
      </c>
      <c r="J813" s="1222"/>
      <c r="K813" s="1209" t="s">
        <v>180</v>
      </c>
      <c r="L813" s="1210"/>
      <c r="M813" s="50"/>
      <c r="N813" s="50"/>
      <c r="T813" s="10"/>
      <c r="U813" s="10"/>
    </row>
    <row r="814" spans="1:21" s="396" customFormat="1" ht="30" customHeight="1" x14ac:dyDescent="0.35">
      <c r="A814" s="401" t="s">
        <v>181</v>
      </c>
      <c r="B814" s="1265" t="s">
        <v>417</v>
      </c>
      <c r="C814" s="1265"/>
      <c r="D814" s="1265"/>
      <c r="E814" s="531">
        <v>22000</v>
      </c>
      <c r="F814" s="187">
        <v>532</v>
      </c>
      <c r="G814" s="532"/>
      <c r="H814" s="533"/>
      <c r="I814" s="1217" t="s">
        <v>2860</v>
      </c>
      <c r="J814" s="1218"/>
      <c r="K814" s="187">
        <f>+F814</f>
        <v>532</v>
      </c>
      <c r="L814" s="401" t="s">
        <v>108</v>
      </c>
      <c r="M814" s="96"/>
      <c r="N814" s="50"/>
      <c r="O814" s="572"/>
      <c r="P814" s="384"/>
    </row>
    <row r="815" spans="1:21" ht="30" customHeight="1" thickBot="1" x14ac:dyDescent="0.4">
      <c r="A815" s="186"/>
      <c r="B815" s="1264"/>
      <c r="C815" s="1264"/>
      <c r="D815" s="1264"/>
      <c r="E815" s="535"/>
      <c r="F815" s="536"/>
      <c r="G815" s="536"/>
      <c r="H815" s="537"/>
      <c r="I815" s="503"/>
      <c r="J815" s="494" t="s">
        <v>37</v>
      </c>
      <c r="K815" s="193">
        <f>+K814</f>
        <v>532</v>
      </c>
      <c r="L815" s="186" t="s">
        <v>108</v>
      </c>
      <c r="M815" s="50"/>
      <c r="N815" s="50"/>
    </row>
    <row r="816" spans="1:21" ht="30" customHeight="1" thickBot="1" x14ac:dyDescent="0.4">
      <c r="A816" s="1199"/>
      <c r="B816" s="1200"/>
      <c r="C816" s="1200"/>
      <c r="D816" s="1200"/>
      <c r="E816" s="1200"/>
      <c r="F816" s="1200"/>
      <c r="G816" s="1200"/>
      <c r="H816" s="1200"/>
      <c r="I816" s="1200"/>
      <c r="J816" s="1200"/>
      <c r="K816" s="1200"/>
      <c r="L816" s="1201"/>
      <c r="M816" s="50"/>
      <c r="N816" s="50"/>
      <c r="O816" s="14"/>
    </row>
    <row r="817" spans="1:21" ht="30" customHeight="1" x14ac:dyDescent="0.35">
      <c r="A817" s="388" t="s">
        <v>1</v>
      </c>
      <c r="B817" s="389">
        <v>1712</v>
      </c>
      <c r="C817" s="1290" t="s">
        <v>418</v>
      </c>
      <c r="D817" s="1291"/>
      <c r="E817" s="392" t="s">
        <v>3</v>
      </c>
      <c r="F817" s="393" t="s">
        <v>108</v>
      </c>
      <c r="G817" s="390" t="s">
        <v>38</v>
      </c>
      <c r="H817" s="195">
        <v>17822.158293814398</v>
      </c>
      <c r="I817" s="392" t="s">
        <v>5</v>
      </c>
      <c r="J817" s="1304" t="s">
        <v>2861</v>
      </c>
      <c r="K817" s="1305"/>
      <c r="L817" s="1306"/>
      <c r="M817" s="50"/>
      <c r="N817" s="50"/>
      <c r="T817" s="10"/>
      <c r="U817" s="10"/>
    </row>
    <row r="818" spans="1:21" ht="30" customHeight="1" x14ac:dyDescent="0.35">
      <c r="A818" s="185" t="s">
        <v>177</v>
      </c>
      <c r="B818" s="1272" t="s">
        <v>7</v>
      </c>
      <c r="C818" s="1272"/>
      <c r="D818" s="1272"/>
      <c r="E818" s="492" t="s">
        <v>178</v>
      </c>
      <c r="F818" s="397" t="s">
        <v>52</v>
      </c>
      <c r="G818" s="185"/>
      <c r="H818" s="185"/>
      <c r="I818" s="1221" t="s">
        <v>179</v>
      </c>
      <c r="J818" s="1222"/>
      <c r="K818" s="1209" t="s">
        <v>180</v>
      </c>
      <c r="L818" s="1210"/>
      <c r="M818" s="50"/>
      <c r="N818" s="50"/>
      <c r="T818" s="10"/>
      <c r="U818" s="10"/>
    </row>
    <row r="819" spans="1:21" ht="30" customHeight="1" x14ac:dyDescent="0.35">
      <c r="A819" s="401" t="s">
        <v>181</v>
      </c>
      <c r="B819" s="1265" t="s">
        <v>419</v>
      </c>
      <c r="C819" s="1265"/>
      <c r="D819" s="1265"/>
      <c r="E819" s="531">
        <v>25000</v>
      </c>
      <c r="F819" s="187">
        <v>1001</v>
      </c>
      <c r="G819" s="532"/>
      <c r="H819" s="533"/>
      <c r="I819" s="1217" t="s">
        <v>2860</v>
      </c>
      <c r="J819" s="1218"/>
      <c r="K819" s="187">
        <f>+F819</f>
        <v>1001</v>
      </c>
      <c r="L819" s="401" t="s">
        <v>108</v>
      </c>
      <c r="M819" s="50"/>
      <c r="N819" s="50"/>
      <c r="O819" s="5"/>
      <c r="P819" s="9"/>
      <c r="Q819" s="34"/>
      <c r="R819" s="5"/>
      <c r="S819" s="35"/>
    </row>
    <row r="820" spans="1:21" ht="30" customHeight="1" thickBot="1" x14ac:dyDescent="0.4">
      <c r="A820" s="186"/>
      <c r="B820" s="1264"/>
      <c r="C820" s="1264"/>
      <c r="D820" s="1264"/>
      <c r="E820" s="535"/>
      <c r="F820" s="536"/>
      <c r="G820" s="536"/>
      <c r="H820" s="537"/>
      <c r="I820" s="503"/>
      <c r="J820" s="494" t="s">
        <v>37</v>
      </c>
      <c r="K820" s="193">
        <f>+K819</f>
        <v>1001</v>
      </c>
      <c r="L820" s="186" t="s">
        <v>108</v>
      </c>
      <c r="M820" s="50"/>
      <c r="N820" s="50"/>
      <c r="O820" s="5"/>
      <c r="P820" s="9"/>
      <c r="Q820" s="34"/>
      <c r="R820" s="5"/>
      <c r="S820" s="35"/>
    </row>
    <row r="821" spans="1:21" ht="30" customHeight="1" thickBot="1" x14ac:dyDescent="0.4">
      <c r="A821" s="1199"/>
      <c r="B821" s="1200"/>
      <c r="C821" s="1200"/>
      <c r="D821" s="1200"/>
      <c r="E821" s="1200"/>
      <c r="F821" s="1200"/>
      <c r="G821" s="1200"/>
      <c r="H821" s="1200"/>
      <c r="I821" s="1200"/>
      <c r="J821" s="1200"/>
      <c r="K821" s="1200"/>
      <c r="L821" s="1201"/>
      <c r="M821" s="50"/>
      <c r="N821" s="50"/>
      <c r="O821" s="5"/>
      <c r="P821" s="9"/>
      <c r="Q821" s="34"/>
      <c r="R821" s="5"/>
      <c r="S821" s="35"/>
    </row>
    <row r="822" spans="1:21" ht="30" customHeight="1" x14ac:dyDescent="0.35">
      <c r="A822" s="388" t="s">
        <v>1</v>
      </c>
      <c r="B822" s="389">
        <v>1713</v>
      </c>
      <c r="C822" s="1290" t="s">
        <v>420</v>
      </c>
      <c r="D822" s="1291"/>
      <c r="E822" s="392" t="s">
        <v>3</v>
      </c>
      <c r="F822" s="393" t="s">
        <v>108</v>
      </c>
      <c r="G822" s="390" t="s">
        <v>38</v>
      </c>
      <c r="H822" s="134">
        <v>10771.373146067401</v>
      </c>
      <c r="I822" s="392" t="s">
        <v>5</v>
      </c>
      <c r="J822" s="1304" t="s">
        <v>2861</v>
      </c>
      <c r="K822" s="1305"/>
      <c r="L822" s="1306"/>
      <c r="M822" s="96"/>
      <c r="N822" s="96"/>
      <c r="O822" s="5"/>
      <c r="P822" s="9"/>
      <c r="Q822" s="34"/>
      <c r="R822" s="5"/>
      <c r="S822" s="35"/>
    </row>
    <row r="823" spans="1:21" ht="30" customHeight="1" x14ac:dyDescent="0.35">
      <c r="A823" s="185" t="s">
        <v>177</v>
      </c>
      <c r="B823" s="1272" t="s">
        <v>7</v>
      </c>
      <c r="C823" s="1272"/>
      <c r="D823" s="1272"/>
      <c r="E823" s="185" t="s">
        <v>178</v>
      </c>
      <c r="F823" s="397" t="s">
        <v>52</v>
      </c>
      <c r="G823" s="1292" t="s">
        <v>54</v>
      </c>
      <c r="H823" s="1293"/>
      <c r="I823" s="1221" t="s">
        <v>179</v>
      </c>
      <c r="J823" s="1222"/>
      <c r="K823" s="1209" t="s">
        <v>180</v>
      </c>
      <c r="L823" s="1210"/>
      <c r="M823" s="50"/>
      <c r="N823" s="50"/>
      <c r="O823" s="5"/>
      <c r="P823" s="9"/>
      <c r="Q823" s="34"/>
      <c r="R823" s="5"/>
      <c r="S823" s="35"/>
    </row>
    <row r="824" spans="1:21" ht="30" customHeight="1" x14ac:dyDescent="0.35">
      <c r="A824" s="186" t="s">
        <v>181</v>
      </c>
      <c r="B824" s="1212" t="s">
        <v>2549</v>
      </c>
      <c r="C824" s="1213"/>
      <c r="D824" s="1214"/>
      <c r="E824" s="203">
        <v>120000</v>
      </c>
      <c r="F824" s="194">
        <v>586</v>
      </c>
      <c r="G824" s="532"/>
      <c r="H824" s="532"/>
      <c r="I824" s="1217" t="s">
        <v>2860</v>
      </c>
      <c r="J824" s="1218"/>
      <c r="K824" s="198">
        <f>+F824</f>
        <v>586</v>
      </c>
      <c r="L824" s="401" t="s">
        <v>108</v>
      </c>
      <c r="M824" s="96"/>
      <c r="N824" s="50"/>
      <c r="O824" s="5"/>
      <c r="P824" s="9"/>
      <c r="Q824" s="34"/>
      <c r="R824" s="5"/>
      <c r="S824" s="35"/>
    </row>
    <row r="825" spans="1:21" ht="30" customHeight="1" thickBot="1" x14ac:dyDescent="0.4">
      <c r="A825" s="186"/>
      <c r="B825" s="529"/>
      <c r="C825" s="520"/>
      <c r="D825" s="520"/>
      <c r="E825" s="520"/>
      <c r="F825" s="784"/>
      <c r="G825" s="520"/>
      <c r="H825" s="750"/>
      <c r="I825" s="503"/>
      <c r="J825" s="494" t="s">
        <v>37</v>
      </c>
      <c r="K825" s="190">
        <f>+K824</f>
        <v>586</v>
      </c>
      <c r="L825" s="186" t="s">
        <v>108</v>
      </c>
      <c r="M825" s="50"/>
      <c r="N825" s="50"/>
      <c r="O825" s="5"/>
      <c r="P825" s="9"/>
      <c r="Q825" s="34"/>
      <c r="R825" s="5"/>
      <c r="S825" s="35"/>
    </row>
    <row r="826" spans="1:21" ht="30" customHeight="1" thickBot="1" x14ac:dyDescent="0.4">
      <c r="A826" s="1199"/>
      <c r="B826" s="1200"/>
      <c r="C826" s="1200"/>
      <c r="D826" s="1200"/>
      <c r="E826" s="1200"/>
      <c r="F826" s="1200"/>
      <c r="G826" s="1200"/>
      <c r="H826" s="1200"/>
      <c r="I826" s="1200"/>
      <c r="J826" s="1200"/>
      <c r="K826" s="1200"/>
      <c r="L826" s="1201"/>
      <c r="M826" s="50"/>
      <c r="N826" s="50"/>
      <c r="O826" s="5"/>
      <c r="P826" s="9"/>
      <c r="Q826" s="34"/>
      <c r="R826" s="5"/>
      <c r="S826" s="35"/>
    </row>
    <row r="827" spans="1:21" ht="30" customHeight="1" x14ac:dyDescent="0.35">
      <c r="A827" s="388" t="s">
        <v>1</v>
      </c>
      <c r="B827" s="389">
        <v>1714</v>
      </c>
      <c r="C827" s="1290" t="s">
        <v>421</v>
      </c>
      <c r="D827" s="1291"/>
      <c r="E827" s="392" t="s">
        <v>3</v>
      </c>
      <c r="F827" s="393" t="s">
        <v>108</v>
      </c>
      <c r="G827" s="390" t="s">
        <v>38</v>
      </c>
      <c r="H827" s="195">
        <v>25878.860705016901</v>
      </c>
      <c r="I827" s="392" t="s">
        <v>5</v>
      </c>
      <c r="J827" s="1304" t="s">
        <v>2861</v>
      </c>
      <c r="K827" s="1305"/>
      <c r="L827" s="1306"/>
      <c r="M827" s="50"/>
      <c r="N827" s="50"/>
      <c r="O827" s="57"/>
      <c r="P827" s="9"/>
      <c r="Q827" s="34"/>
      <c r="R827" s="5"/>
      <c r="S827" s="35"/>
    </row>
    <row r="828" spans="1:21" ht="30" customHeight="1" x14ac:dyDescent="0.35">
      <c r="A828" s="185" t="s">
        <v>177</v>
      </c>
      <c r="B828" s="1272" t="s">
        <v>7</v>
      </c>
      <c r="C828" s="1272"/>
      <c r="D828" s="1272"/>
      <c r="E828" s="492" t="s">
        <v>178</v>
      </c>
      <c r="F828" s="397" t="s">
        <v>52</v>
      </c>
      <c r="G828" s="185"/>
      <c r="H828" s="185"/>
      <c r="I828" s="1221" t="s">
        <v>179</v>
      </c>
      <c r="J828" s="1222"/>
      <c r="K828" s="1209" t="s">
        <v>180</v>
      </c>
      <c r="L828" s="1210"/>
      <c r="M828" s="50"/>
      <c r="N828" s="50"/>
      <c r="O828" s="14"/>
      <c r="P828" s="9"/>
      <c r="Q828" s="34"/>
      <c r="R828" s="5"/>
      <c r="S828" s="35"/>
    </row>
    <row r="829" spans="1:21" ht="30" customHeight="1" x14ac:dyDescent="0.35">
      <c r="A829" s="401" t="s">
        <v>181</v>
      </c>
      <c r="B829" s="1265" t="s">
        <v>422</v>
      </c>
      <c r="C829" s="1265"/>
      <c r="D829" s="1265"/>
      <c r="E829" s="531">
        <v>49000</v>
      </c>
      <c r="F829" s="187">
        <v>498</v>
      </c>
      <c r="G829" s="532"/>
      <c r="H829" s="533"/>
      <c r="I829" s="1217" t="s">
        <v>2860</v>
      </c>
      <c r="J829" s="1218"/>
      <c r="K829" s="187">
        <f>+F829</f>
        <v>498</v>
      </c>
      <c r="L829" s="401" t="s">
        <v>108</v>
      </c>
      <c r="M829" s="96"/>
      <c r="N829" s="96"/>
      <c r="O829" s="5"/>
      <c r="P829" s="9"/>
      <c r="Q829" s="34"/>
      <c r="R829" s="5"/>
      <c r="S829" s="35"/>
    </row>
    <row r="830" spans="1:21" s="396" customFormat="1" ht="30" customHeight="1" thickBot="1" x14ac:dyDescent="0.4">
      <c r="A830" s="186"/>
      <c r="B830" s="1264"/>
      <c r="C830" s="1264"/>
      <c r="D830" s="1264"/>
      <c r="E830" s="535"/>
      <c r="F830" s="536"/>
      <c r="G830" s="536"/>
      <c r="H830" s="537"/>
      <c r="I830" s="503"/>
      <c r="J830" s="494" t="s">
        <v>37</v>
      </c>
      <c r="K830" s="193">
        <f>+K829</f>
        <v>498</v>
      </c>
      <c r="L830" s="3" t="s">
        <v>108</v>
      </c>
      <c r="M830" s="53"/>
      <c r="N830" s="50"/>
      <c r="O830" s="572"/>
      <c r="P830" s="384"/>
    </row>
    <row r="831" spans="1:21" ht="30" customHeight="1" thickBot="1" x14ac:dyDescent="0.4">
      <c r="A831" s="1199"/>
      <c r="B831" s="1200"/>
      <c r="C831" s="1200"/>
      <c r="D831" s="1200"/>
      <c r="E831" s="1200"/>
      <c r="F831" s="1200"/>
      <c r="G831" s="1200"/>
      <c r="H831" s="1200"/>
      <c r="I831" s="1200"/>
      <c r="J831" s="1200"/>
      <c r="K831" s="1200"/>
      <c r="L831" s="1200"/>
      <c r="M831" s="53"/>
      <c r="N831" s="96"/>
      <c r="O831" s="724"/>
    </row>
    <row r="832" spans="1:21" s="396" customFormat="1" ht="30" customHeight="1" x14ac:dyDescent="0.35">
      <c r="A832" s="388" t="s">
        <v>1</v>
      </c>
      <c r="B832" s="126">
        <v>1715</v>
      </c>
      <c r="C832" s="1290" t="s">
        <v>423</v>
      </c>
      <c r="D832" s="1291"/>
      <c r="E832" s="392" t="s">
        <v>3</v>
      </c>
      <c r="F832" s="393" t="s">
        <v>108</v>
      </c>
      <c r="G832" s="390" t="s">
        <v>38</v>
      </c>
      <c r="H832" s="132">
        <v>37534.418947368402</v>
      </c>
      <c r="I832" s="392" t="s">
        <v>5</v>
      </c>
      <c r="J832" s="1207" t="s">
        <v>2470</v>
      </c>
      <c r="K832" s="1207"/>
      <c r="L832" s="1208"/>
      <c r="M832" s="286"/>
      <c r="N832" s="50"/>
      <c r="O832" s="384"/>
      <c r="P832" s="384"/>
    </row>
    <row r="833" spans="1:21" s="396" customFormat="1" ht="30" customHeight="1" x14ac:dyDescent="0.35">
      <c r="A833" s="185" t="s">
        <v>177</v>
      </c>
      <c r="B833" s="1272" t="s">
        <v>7</v>
      </c>
      <c r="C833" s="1272"/>
      <c r="D833" s="1272"/>
      <c r="E833" s="185" t="s">
        <v>178</v>
      </c>
      <c r="F833" s="397" t="s">
        <v>52</v>
      </c>
      <c r="G833" s="1292" t="s">
        <v>54</v>
      </c>
      <c r="H833" s="1293"/>
      <c r="I833" s="1221" t="s">
        <v>179</v>
      </c>
      <c r="J833" s="1222"/>
      <c r="K833" s="1249" t="s">
        <v>180</v>
      </c>
      <c r="L833" s="1250"/>
      <c r="M833" s="53"/>
      <c r="N833" s="50"/>
      <c r="O833" s="384"/>
      <c r="P833" s="384"/>
    </row>
    <row r="834" spans="1:21" s="396" customFormat="1" ht="30" customHeight="1" x14ac:dyDescent="0.35">
      <c r="A834" s="401" t="s">
        <v>181</v>
      </c>
      <c r="B834" s="1265" t="s">
        <v>2548</v>
      </c>
      <c r="C834" s="1265"/>
      <c r="D834" s="1265"/>
      <c r="E834" s="786">
        <v>64000</v>
      </c>
      <c r="F834" s="191">
        <v>422</v>
      </c>
      <c r="G834" s="401"/>
      <c r="H834" s="401"/>
      <c r="I834" s="1217">
        <v>1.0438745311870332</v>
      </c>
      <c r="J834" s="1218"/>
      <c r="K834" s="187">
        <f>+F834*+I834</f>
        <v>440.51505216092801</v>
      </c>
      <c r="L834" s="407" t="s">
        <v>108</v>
      </c>
      <c r="M834" s="50"/>
      <c r="N834" s="50"/>
    </row>
    <row r="835" spans="1:21" s="396" customFormat="1" ht="30" customHeight="1" x14ac:dyDescent="0.35">
      <c r="A835" s="186"/>
      <c r="B835" s="1264"/>
      <c r="C835" s="1264"/>
      <c r="D835" s="1264"/>
      <c r="E835" s="535"/>
      <c r="F835" s="536"/>
      <c r="G835" s="536"/>
      <c r="H835" s="537"/>
      <c r="I835" s="503"/>
      <c r="J835" s="494" t="s">
        <v>37</v>
      </c>
      <c r="K835" s="193">
        <f>+K834</f>
        <v>440.51505216092801</v>
      </c>
      <c r="L835" s="186" t="s">
        <v>108</v>
      </c>
      <c r="M835" s="96"/>
      <c r="N835" s="50"/>
    </row>
    <row r="836" spans="1:21" ht="30" customHeight="1" thickBot="1" x14ac:dyDescent="0.4">
      <c r="A836" s="186"/>
      <c r="B836" s="1264"/>
      <c r="C836" s="1264"/>
      <c r="D836" s="1264"/>
      <c r="E836" s="535"/>
      <c r="F836" s="536"/>
      <c r="G836" s="1798" t="s">
        <v>3000</v>
      </c>
      <c r="H836" s="1798"/>
      <c r="I836" s="1799"/>
      <c r="J836" s="835">
        <v>1.0438745311870361</v>
      </c>
      <c r="K836" s="193">
        <f>+K835*J836</f>
        <v>459.84244355532149</v>
      </c>
      <c r="L836" s="186" t="s">
        <v>108</v>
      </c>
      <c r="M836" s="96"/>
      <c r="N836" s="96"/>
      <c r="O836" s="539"/>
    </row>
    <row r="837" spans="1:21" ht="30" customHeight="1" thickBot="1" x14ac:dyDescent="0.4">
      <c r="A837" s="1199"/>
      <c r="B837" s="1200"/>
      <c r="C837" s="1200"/>
      <c r="D837" s="1200"/>
      <c r="E837" s="1200"/>
      <c r="F837" s="1200"/>
      <c r="G837" s="1200"/>
      <c r="H837" s="1200"/>
      <c r="I837" s="1200"/>
      <c r="J837" s="1200"/>
      <c r="K837" s="1200"/>
      <c r="L837" s="1201"/>
      <c r="M837" s="50"/>
      <c r="N837" s="50"/>
      <c r="O837" s="539"/>
    </row>
    <row r="838" spans="1:21" ht="30" customHeight="1" x14ac:dyDescent="0.35">
      <c r="A838" s="388" t="s">
        <v>1</v>
      </c>
      <c r="B838" s="389">
        <v>1717</v>
      </c>
      <c r="C838" s="1290" t="s">
        <v>424</v>
      </c>
      <c r="D838" s="1291"/>
      <c r="E838" s="392" t="s">
        <v>3</v>
      </c>
      <c r="F838" s="393" t="s">
        <v>108</v>
      </c>
      <c r="G838" s="390" t="s">
        <v>38</v>
      </c>
      <c r="H838" s="195">
        <v>7827.16644230769</v>
      </c>
      <c r="I838" s="392" t="s">
        <v>5</v>
      </c>
      <c r="J838" s="1304" t="s">
        <v>2861</v>
      </c>
      <c r="K838" s="1305"/>
      <c r="L838" s="1306"/>
      <c r="M838" s="50"/>
      <c r="O838" s="5"/>
      <c r="P838" s="9"/>
      <c r="Q838" s="34"/>
      <c r="R838" s="5"/>
      <c r="S838" s="35"/>
    </row>
    <row r="839" spans="1:21" ht="30" customHeight="1" x14ac:dyDescent="0.35">
      <c r="A839" s="185" t="s">
        <v>177</v>
      </c>
      <c r="B839" s="1272" t="s">
        <v>7</v>
      </c>
      <c r="C839" s="1272"/>
      <c r="D839" s="1272"/>
      <c r="E839" s="492" t="s">
        <v>178</v>
      </c>
      <c r="F839" s="397" t="s">
        <v>52</v>
      </c>
      <c r="G839" s="185"/>
      <c r="H839" s="185"/>
      <c r="I839" s="1221" t="s">
        <v>179</v>
      </c>
      <c r="J839" s="1222"/>
      <c r="K839" s="1209" t="s">
        <v>180</v>
      </c>
      <c r="L839" s="1210"/>
      <c r="M839" s="50"/>
      <c r="N839" s="96"/>
      <c r="O839" s="539"/>
      <c r="T839" s="10"/>
      <c r="U839" s="10"/>
    </row>
    <row r="840" spans="1:21" ht="30" customHeight="1" x14ac:dyDescent="0.35">
      <c r="A840" s="401" t="s">
        <v>181</v>
      </c>
      <c r="B840" s="1265" t="s">
        <v>425</v>
      </c>
      <c r="C840" s="1265"/>
      <c r="D840" s="1265"/>
      <c r="E840" s="531">
        <v>22000</v>
      </c>
      <c r="F840" s="187">
        <v>532</v>
      </c>
      <c r="G840" s="532"/>
      <c r="H840" s="533"/>
      <c r="I840" s="1217" t="s">
        <v>2860</v>
      </c>
      <c r="J840" s="1218"/>
      <c r="K840" s="187">
        <f>+F840</f>
        <v>532</v>
      </c>
      <c r="L840" s="401" t="s">
        <v>108</v>
      </c>
      <c r="M840" s="50"/>
      <c r="N840" s="50"/>
      <c r="O840" s="539"/>
      <c r="T840" s="10"/>
      <c r="U840" s="10"/>
    </row>
    <row r="841" spans="1:21" s="396" customFormat="1" ht="30" customHeight="1" thickBot="1" x14ac:dyDescent="0.4">
      <c r="A841" s="186"/>
      <c r="B841" s="1264"/>
      <c r="C841" s="1264"/>
      <c r="D841" s="1264"/>
      <c r="E841" s="535"/>
      <c r="F841" s="536"/>
      <c r="G841" s="536"/>
      <c r="H841" s="537"/>
      <c r="I841" s="503"/>
      <c r="J841" s="494" t="s">
        <v>37</v>
      </c>
      <c r="K841" s="193">
        <f>+K840</f>
        <v>532</v>
      </c>
      <c r="L841" s="186" t="s">
        <v>108</v>
      </c>
      <c r="M841" s="50"/>
      <c r="N841" s="50"/>
      <c r="O841" s="572"/>
      <c r="P841" s="384"/>
    </row>
    <row r="842" spans="1:21" ht="30" customHeight="1" thickBot="1" x14ac:dyDescent="0.4">
      <c r="A842" s="1199"/>
      <c r="B842" s="1200"/>
      <c r="C842" s="1200"/>
      <c r="D842" s="1200"/>
      <c r="E842" s="1200"/>
      <c r="F842" s="1200"/>
      <c r="G842" s="1200"/>
      <c r="H842" s="1200"/>
      <c r="I842" s="1200"/>
      <c r="J842" s="1200"/>
      <c r="K842" s="1200"/>
      <c r="L842" s="1201"/>
      <c r="M842" s="50"/>
      <c r="N842" s="50"/>
    </row>
    <row r="843" spans="1:21" ht="30" customHeight="1" x14ac:dyDescent="0.35">
      <c r="A843" s="388" t="s">
        <v>1</v>
      </c>
      <c r="B843" s="389">
        <v>1718</v>
      </c>
      <c r="C843" s="1290" t="s">
        <v>426</v>
      </c>
      <c r="D843" s="1291"/>
      <c r="E843" s="392" t="s">
        <v>3</v>
      </c>
      <c r="F843" s="393" t="s">
        <v>108</v>
      </c>
      <c r="G843" s="390" t="s">
        <v>38</v>
      </c>
      <c r="H843" s="195">
        <v>10797.329912023401</v>
      </c>
      <c r="I843" s="392" t="s">
        <v>5</v>
      </c>
      <c r="J843" s="1207" t="s">
        <v>2470</v>
      </c>
      <c r="K843" s="1207"/>
      <c r="L843" s="1208"/>
      <c r="M843" s="50"/>
      <c r="N843" s="96"/>
      <c r="O843" s="539"/>
    </row>
    <row r="844" spans="1:21" ht="30" customHeight="1" x14ac:dyDescent="0.35">
      <c r="A844" s="185" t="s">
        <v>177</v>
      </c>
      <c r="B844" s="1272" t="s">
        <v>7</v>
      </c>
      <c r="C844" s="1272"/>
      <c r="D844" s="1272"/>
      <c r="E844" s="492" t="s">
        <v>178</v>
      </c>
      <c r="F844" s="397" t="s">
        <v>52</v>
      </c>
      <c r="G844" s="185"/>
      <c r="H844" s="185"/>
      <c r="I844" s="1221" t="s">
        <v>179</v>
      </c>
      <c r="J844" s="1222"/>
      <c r="K844" s="1209" t="s">
        <v>180</v>
      </c>
      <c r="L844" s="1210"/>
      <c r="M844" s="50"/>
      <c r="N844" s="96"/>
      <c r="O844" s="539"/>
      <c r="T844" s="10"/>
      <c r="U844" s="10"/>
    </row>
    <row r="845" spans="1:21" ht="30" customHeight="1" x14ac:dyDescent="0.35">
      <c r="A845" s="401" t="s">
        <v>181</v>
      </c>
      <c r="B845" s="1265" t="s">
        <v>427</v>
      </c>
      <c r="C845" s="1265"/>
      <c r="D845" s="1265"/>
      <c r="E845" s="531">
        <v>41000</v>
      </c>
      <c r="F845" s="187">
        <v>464</v>
      </c>
      <c r="G845" s="532"/>
      <c r="H845" s="533"/>
      <c r="I845" s="1217">
        <v>1.0438745311870332</v>
      </c>
      <c r="J845" s="1218"/>
      <c r="K845" s="187">
        <f>+F845*+I845</f>
        <v>484.35778247078343</v>
      </c>
      <c r="L845" s="401" t="s">
        <v>108</v>
      </c>
      <c r="M845" s="50"/>
      <c r="N845" s="50"/>
      <c r="T845" s="10"/>
      <c r="U845" s="10"/>
    </row>
    <row r="846" spans="1:21" s="396" customFormat="1" ht="30" customHeight="1" x14ac:dyDescent="0.35">
      <c r="A846" s="186"/>
      <c r="B846" s="1264"/>
      <c r="C846" s="1264"/>
      <c r="D846" s="1264"/>
      <c r="E846" s="535"/>
      <c r="F846" s="536"/>
      <c r="G846" s="536"/>
      <c r="H846" s="537"/>
      <c r="I846" s="503"/>
      <c r="J846" s="494" t="s">
        <v>37</v>
      </c>
      <c r="K846" s="193">
        <f>+K845</f>
        <v>484.35778247078343</v>
      </c>
      <c r="L846" s="186" t="s">
        <v>108</v>
      </c>
      <c r="M846" s="50"/>
      <c r="N846" s="50"/>
      <c r="O846" s="789"/>
      <c r="P846" s="384"/>
    </row>
    <row r="847" spans="1:21" ht="30" customHeight="1" thickBot="1" x14ac:dyDescent="0.4">
      <c r="A847" s="186"/>
      <c r="B847" s="1264"/>
      <c r="C847" s="1264"/>
      <c r="D847" s="1264"/>
      <c r="E847" s="535"/>
      <c r="F847" s="536"/>
      <c r="G847" s="1798" t="s">
        <v>3000</v>
      </c>
      <c r="H847" s="1798"/>
      <c r="I847" s="1799"/>
      <c r="J847" s="835">
        <v>1.0438745311870361</v>
      </c>
      <c r="K847" s="193">
        <f>+K846*J847</f>
        <v>505.60875310348149</v>
      </c>
      <c r="L847" s="186" t="s">
        <v>108</v>
      </c>
      <c r="M847" s="50"/>
      <c r="N847" s="50"/>
      <c r="O847" s="539"/>
    </row>
    <row r="848" spans="1:21" ht="30" customHeight="1" thickBot="1" x14ac:dyDescent="0.4">
      <c r="A848" s="1199"/>
      <c r="B848" s="1200"/>
      <c r="C848" s="1200"/>
      <c r="D848" s="1200"/>
      <c r="E848" s="1200"/>
      <c r="F848" s="1200"/>
      <c r="G848" s="1200"/>
      <c r="H848" s="1200"/>
      <c r="I848" s="1200"/>
      <c r="J848" s="1200"/>
      <c r="K848" s="1200"/>
      <c r="L848" s="1201"/>
      <c r="M848" s="50"/>
      <c r="N848" s="50"/>
    </row>
    <row r="849" spans="1:21" ht="30" customHeight="1" x14ac:dyDescent="0.35">
      <c r="A849" s="388" t="s">
        <v>1</v>
      </c>
      <c r="B849" s="389">
        <v>1721</v>
      </c>
      <c r="C849" s="1290" t="s">
        <v>428</v>
      </c>
      <c r="D849" s="1291"/>
      <c r="E849" s="392" t="s">
        <v>3</v>
      </c>
      <c r="F849" s="393" t="s">
        <v>108</v>
      </c>
      <c r="G849" s="390" t="s">
        <v>38</v>
      </c>
      <c r="H849" s="195">
        <v>13472.0954738562</v>
      </c>
      <c r="I849" s="392" t="s">
        <v>5</v>
      </c>
      <c r="J849" s="1304" t="s">
        <v>2861</v>
      </c>
      <c r="K849" s="1305"/>
      <c r="L849" s="1306"/>
      <c r="M849" s="50"/>
      <c r="N849" s="96"/>
      <c r="T849" s="10"/>
      <c r="U849" s="10"/>
    </row>
    <row r="850" spans="1:21" ht="30" customHeight="1" x14ac:dyDescent="0.35">
      <c r="A850" s="185" t="s">
        <v>177</v>
      </c>
      <c r="B850" s="1272" t="s">
        <v>7</v>
      </c>
      <c r="C850" s="1272"/>
      <c r="D850" s="1272"/>
      <c r="E850" s="492" t="s">
        <v>178</v>
      </c>
      <c r="F850" s="397" t="s">
        <v>52</v>
      </c>
      <c r="G850" s="185"/>
      <c r="H850" s="185"/>
      <c r="I850" s="1221" t="s">
        <v>179</v>
      </c>
      <c r="J850" s="1222"/>
      <c r="K850" s="1209" t="s">
        <v>180</v>
      </c>
      <c r="L850" s="1210"/>
      <c r="M850" s="50"/>
      <c r="O850" s="5"/>
      <c r="P850" s="9"/>
      <c r="Q850" s="34"/>
      <c r="R850" s="5"/>
      <c r="S850" s="35"/>
    </row>
    <row r="851" spans="1:21" ht="30" customHeight="1" x14ac:dyDescent="0.35">
      <c r="A851" s="401" t="s">
        <v>181</v>
      </c>
      <c r="B851" s="1265" t="s">
        <v>429</v>
      </c>
      <c r="C851" s="1265"/>
      <c r="D851" s="1265"/>
      <c r="E851" s="531">
        <v>7400</v>
      </c>
      <c r="F851" s="187">
        <v>876</v>
      </c>
      <c r="G851" s="532"/>
      <c r="H851" s="533"/>
      <c r="I851" s="1217" t="s">
        <v>2860</v>
      </c>
      <c r="J851" s="1218"/>
      <c r="K851" s="187">
        <f>F851</f>
        <v>876</v>
      </c>
      <c r="L851" s="401" t="s">
        <v>108</v>
      </c>
      <c r="M851" s="50"/>
      <c r="N851" s="50"/>
      <c r="T851" s="10"/>
      <c r="U851" s="10"/>
    </row>
    <row r="852" spans="1:21" ht="30" customHeight="1" thickBot="1" x14ac:dyDescent="0.4">
      <c r="A852" s="186"/>
      <c r="B852" s="1264"/>
      <c r="C852" s="1264"/>
      <c r="D852" s="1264"/>
      <c r="E852" s="535"/>
      <c r="F852" s="536"/>
      <c r="G852" s="536"/>
      <c r="H852" s="537"/>
      <c r="I852" s="503"/>
      <c r="J852" s="494" t="s">
        <v>37</v>
      </c>
      <c r="K852" s="187">
        <f>K851</f>
        <v>876</v>
      </c>
      <c r="L852" s="186" t="s">
        <v>108</v>
      </c>
      <c r="M852" s="50"/>
      <c r="N852" s="96"/>
      <c r="O852" s="789"/>
    </row>
    <row r="853" spans="1:21" ht="30" customHeight="1" thickBot="1" x14ac:dyDescent="0.4">
      <c r="A853" s="1199"/>
      <c r="B853" s="1200"/>
      <c r="C853" s="1200"/>
      <c r="D853" s="1200"/>
      <c r="E853" s="1200"/>
      <c r="F853" s="1200"/>
      <c r="G853" s="1200"/>
      <c r="H853" s="1200"/>
      <c r="I853" s="1200"/>
      <c r="J853" s="1200"/>
      <c r="K853" s="1200"/>
      <c r="L853" s="1201"/>
      <c r="M853" s="50"/>
      <c r="N853" s="50"/>
      <c r="O853" s="791"/>
    </row>
    <row r="854" spans="1:21" ht="30" customHeight="1" x14ac:dyDescent="0.35">
      <c r="A854" s="388" t="s">
        <v>1</v>
      </c>
      <c r="B854" s="126">
        <v>1722</v>
      </c>
      <c r="C854" s="1290" t="s">
        <v>430</v>
      </c>
      <c r="D854" s="1291"/>
      <c r="E854" s="392" t="s">
        <v>3</v>
      </c>
      <c r="F854" s="393" t="s">
        <v>108</v>
      </c>
      <c r="G854" s="390" t="s">
        <v>38</v>
      </c>
      <c r="H854" s="134">
        <v>6510.8181818181802</v>
      </c>
      <c r="I854" s="392" t="s">
        <v>5</v>
      </c>
      <c r="J854" s="1304" t="s">
        <v>2861</v>
      </c>
      <c r="K854" s="1305"/>
      <c r="L854" s="1306"/>
      <c r="M854" s="50"/>
      <c r="N854" s="50"/>
      <c r="O854" s="5"/>
      <c r="P854" s="9"/>
      <c r="Q854" s="34"/>
      <c r="R854" s="5"/>
      <c r="S854" s="35"/>
    </row>
    <row r="855" spans="1:21" ht="30" customHeight="1" x14ac:dyDescent="0.35">
      <c r="A855" s="185" t="s">
        <v>177</v>
      </c>
      <c r="B855" s="1272" t="s">
        <v>7</v>
      </c>
      <c r="C855" s="1272"/>
      <c r="D855" s="1272"/>
      <c r="E855" s="492" t="s">
        <v>178</v>
      </c>
      <c r="F855" s="397" t="s">
        <v>52</v>
      </c>
      <c r="G855" s="185"/>
      <c r="H855" s="185"/>
      <c r="I855" s="1221" t="s">
        <v>179</v>
      </c>
      <c r="J855" s="1222"/>
      <c r="K855" s="1209" t="s">
        <v>180</v>
      </c>
      <c r="L855" s="1210"/>
      <c r="M855" s="50"/>
      <c r="N855" s="111"/>
      <c r="O855" s="5"/>
      <c r="P855" s="9"/>
      <c r="Q855" s="34"/>
      <c r="R855" s="5"/>
      <c r="S855" s="35"/>
    </row>
    <row r="856" spans="1:21" ht="30" customHeight="1" x14ac:dyDescent="0.35">
      <c r="A856" s="401" t="s">
        <v>181</v>
      </c>
      <c r="B856" s="1265" t="s">
        <v>431</v>
      </c>
      <c r="C856" s="1265"/>
      <c r="D856" s="1265"/>
      <c r="E856" s="531">
        <v>7400</v>
      </c>
      <c r="F856" s="187">
        <v>876</v>
      </c>
      <c r="G856" s="532"/>
      <c r="H856" s="533"/>
      <c r="I856" s="1217" t="s">
        <v>2860</v>
      </c>
      <c r="J856" s="1218"/>
      <c r="K856" s="187">
        <f>+F856</f>
        <v>876</v>
      </c>
      <c r="L856" s="401" t="s">
        <v>108</v>
      </c>
      <c r="M856" s="50"/>
      <c r="N856" s="50"/>
      <c r="O856" s="5"/>
      <c r="P856" s="9"/>
      <c r="Q856" s="34"/>
      <c r="R856" s="5"/>
      <c r="S856" s="35"/>
    </row>
    <row r="857" spans="1:21" ht="30" customHeight="1" thickBot="1" x14ac:dyDescent="0.4">
      <c r="A857" s="186"/>
      <c r="B857" s="1264"/>
      <c r="C857" s="1264"/>
      <c r="D857" s="1264"/>
      <c r="E857" s="535"/>
      <c r="F857" s="536"/>
      <c r="G857" s="536"/>
      <c r="H857" s="537"/>
      <c r="I857" s="503"/>
      <c r="J857" s="494" t="s">
        <v>37</v>
      </c>
      <c r="K857" s="193">
        <f>+K856</f>
        <v>876</v>
      </c>
      <c r="L857" s="186" t="s">
        <v>108</v>
      </c>
      <c r="M857" s="50"/>
      <c r="N857" s="96"/>
      <c r="O857" s="5"/>
      <c r="P857" s="9"/>
      <c r="Q857" s="34"/>
      <c r="R857" s="5"/>
      <c r="S857" s="35"/>
    </row>
    <row r="858" spans="1:21" ht="30" customHeight="1" thickBot="1" x14ac:dyDescent="0.4">
      <c r="A858" s="1199"/>
      <c r="B858" s="1200"/>
      <c r="C858" s="1200"/>
      <c r="D858" s="1200"/>
      <c r="E858" s="1200"/>
      <c r="F858" s="1200"/>
      <c r="G858" s="1200"/>
      <c r="H858" s="1200"/>
      <c r="I858" s="1200"/>
      <c r="J858" s="1200"/>
      <c r="K858" s="1200"/>
      <c r="L858" s="1201"/>
      <c r="M858" s="50"/>
      <c r="N858" s="50"/>
      <c r="O858" s="5"/>
      <c r="P858" s="9"/>
      <c r="Q858" s="34"/>
      <c r="R858" s="5"/>
      <c r="S858" s="35"/>
    </row>
    <row r="859" spans="1:21" ht="30" customHeight="1" x14ac:dyDescent="0.35">
      <c r="A859" s="388" t="s">
        <v>1</v>
      </c>
      <c r="B859" s="389">
        <v>1723</v>
      </c>
      <c r="C859" s="1290" t="s">
        <v>432</v>
      </c>
      <c r="D859" s="1291"/>
      <c r="E859" s="392" t="s">
        <v>3</v>
      </c>
      <c r="F859" s="393" t="s">
        <v>108</v>
      </c>
      <c r="G859" s="390" t="s">
        <v>38</v>
      </c>
      <c r="H859" s="135">
        <v>850.2</v>
      </c>
      <c r="I859" s="392" t="s">
        <v>5</v>
      </c>
      <c r="J859" s="1207" t="s">
        <v>2571</v>
      </c>
      <c r="K859" s="1207"/>
      <c r="L859" s="1208"/>
      <c r="M859" s="96"/>
      <c r="N859" s="111"/>
      <c r="O859" s="5"/>
      <c r="P859" s="9"/>
      <c r="Q859" s="34"/>
      <c r="R859" s="5"/>
      <c r="S859" s="35"/>
    </row>
    <row r="860" spans="1:21" ht="30" customHeight="1" x14ac:dyDescent="0.35">
      <c r="A860" s="185" t="s">
        <v>177</v>
      </c>
      <c r="B860" s="1272" t="s">
        <v>7</v>
      </c>
      <c r="C860" s="1272"/>
      <c r="D860" s="1272"/>
      <c r="E860" s="185" t="s">
        <v>178</v>
      </c>
      <c r="F860" s="397" t="s">
        <v>52</v>
      </c>
      <c r="G860" s="503"/>
      <c r="H860" s="125"/>
      <c r="I860" s="1221" t="s">
        <v>179</v>
      </c>
      <c r="J860" s="1222"/>
      <c r="K860" s="1209" t="s">
        <v>180</v>
      </c>
      <c r="L860" s="1210"/>
      <c r="M860" s="50"/>
      <c r="N860" s="50"/>
      <c r="O860" s="5"/>
      <c r="P860" s="9"/>
      <c r="Q860" s="34"/>
      <c r="R860" s="5"/>
      <c r="S860" s="35"/>
    </row>
    <row r="861" spans="1:21" ht="30" customHeight="1" x14ac:dyDescent="0.35">
      <c r="A861" s="186">
        <v>17123</v>
      </c>
      <c r="B861" s="1212" t="s">
        <v>2876</v>
      </c>
      <c r="C861" s="1213"/>
      <c r="D861" s="1214"/>
      <c r="E861" s="531">
        <v>800</v>
      </c>
      <c r="F861" s="334">
        <v>491</v>
      </c>
      <c r="G861" s="503"/>
      <c r="H861" s="651"/>
      <c r="I861" s="1217">
        <f>+'FY2024 MILCON Inflation Table'!F23</f>
        <v>0.93863689284411045</v>
      </c>
      <c r="J861" s="1218"/>
      <c r="K861" s="189">
        <f>+F861*I861</f>
        <v>460.87071438645825</v>
      </c>
      <c r="L861" s="401" t="s">
        <v>108</v>
      </c>
      <c r="M861" s="50"/>
      <c r="N861" s="50"/>
      <c r="O861" s="10"/>
      <c r="P861" s="9"/>
      <c r="Q861" s="34"/>
      <c r="R861" s="5"/>
      <c r="S861" s="35"/>
    </row>
    <row r="862" spans="1:21" ht="30" customHeight="1" x14ac:dyDescent="0.35">
      <c r="A862" s="186">
        <v>17123</v>
      </c>
      <c r="B862" s="1212" t="s">
        <v>2550</v>
      </c>
      <c r="C862" s="1213"/>
      <c r="D862" s="1214"/>
      <c r="E862" s="531">
        <v>3090</v>
      </c>
      <c r="F862" s="334">
        <v>286</v>
      </c>
      <c r="G862" s="503"/>
      <c r="H862" s="651"/>
      <c r="I862" s="1217">
        <f>+'FY2024 MILCON Inflation Table'!F19</f>
        <v>1.0438745311870332</v>
      </c>
      <c r="J862" s="1218"/>
      <c r="K862" s="189">
        <f>+F862*I862</f>
        <v>298.54811591949152</v>
      </c>
      <c r="L862" s="401" t="s">
        <v>108</v>
      </c>
      <c r="M862" s="50"/>
      <c r="N862" s="50"/>
      <c r="O862" s="10"/>
      <c r="P862" s="9"/>
      <c r="Q862" s="34"/>
      <c r="R862" s="5"/>
      <c r="S862" s="35"/>
    </row>
    <row r="863" spans="1:21" ht="30" customHeight="1" x14ac:dyDescent="0.35">
      <c r="A863" s="1464"/>
      <c r="B863" s="1502"/>
      <c r="C863" s="1502"/>
      <c r="D863" s="1502"/>
      <c r="E863" s="1502"/>
      <c r="F863" s="1502"/>
      <c r="G863" s="1502"/>
      <c r="H863" s="1503"/>
      <c r="I863" s="405"/>
      <c r="J863" s="406" t="s">
        <v>192</v>
      </c>
      <c r="K863" s="190">
        <f>AVERAGE(K861:K862)</f>
        <v>379.70941515297488</v>
      </c>
      <c r="L863" s="401" t="s">
        <v>108</v>
      </c>
      <c r="M863" s="50"/>
      <c r="N863" s="50"/>
      <c r="O863" s="10"/>
      <c r="P863" s="9"/>
      <c r="Q863" s="34"/>
      <c r="R863" s="5"/>
      <c r="S863" s="35"/>
    </row>
    <row r="864" spans="1:21" ht="30" customHeight="1" thickBot="1" x14ac:dyDescent="0.4">
      <c r="A864" s="186"/>
      <c r="B864" s="1264"/>
      <c r="C864" s="1264"/>
      <c r="D864" s="1264"/>
      <c r="E864" s="652"/>
      <c r="F864" s="646"/>
      <c r="G864" s="503"/>
      <c r="H864" s="654" t="s">
        <v>192</v>
      </c>
      <c r="I864" s="503"/>
      <c r="J864" s="494" t="s">
        <v>37</v>
      </c>
      <c r="K864" s="190">
        <f>AVERAGE(K861:K862)</f>
        <v>379.70941515297488</v>
      </c>
      <c r="L864" s="186" t="s">
        <v>108</v>
      </c>
      <c r="M864" s="50"/>
      <c r="N864" s="50"/>
      <c r="O864" s="5"/>
      <c r="P864" s="9"/>
      <c r="Q864" s="34"/>
      <c r="R864" s="5"/>
      <c r="S864" s="35"/>
    </row>
    <row r="865" spans="1:19" ht="30" customHeight="1" thickBot="1" x14ac:dyDescent="0.4">
      <c r="A865" s="1199"/>
      <c r="B865" s="1200"/>
      <c r="C865" s="1200"/>
      <c r="D865" s="1200"/>
      <c r="E865" s="1200"/>
      <c r="F865" s="1200"/>
      <c r="G865" s="1200"/>
      <c r="H865" s="1200"/>
      <c r="I865" s="1200"/>
      <c r="J865" s="1200"/>
      <c r="K865" s="1200"/>
      <c r="L865" s="1201"/>
      <c r="M865" s="96"/>
      <c r="N865" s="50"/>
      <c r="O865" s="10"/>
      <c r="P865" s="9"/>
      <c r="Q865" s="34"/>
      <c r="R865" s="5"/>
      <c r="S865" s="35"/>
    </row>
    <row r="866" spans="1:19" ht="30" customHeight="1" x14ac:dyDescent="0.35">
      <c r="A866" s="388" t="s">
        <v>1</v>
      </c>
      <c r="B866" s="389">
        <v>1724</v>
      </c>
      <c r="C866" s="1345" t="s">
        <v>433</v>
      </c>
      <c r="D866" s="1346"/>
      <c r="E866" s="392" t="s">
        <v>3</v>
      </c>
      <c r="F866" s="393" t="s">
        <v>108</v>
      </c>
      <c r="G866" s="390" t="s">
        <v>38</v>
      </c>
      <c r="H866" s="134">
        <v>10249.9</v>
      </c>
      <c r="I866" s="392" t="s">
        <v>5</v>
      </c>
      <c r="J866" s="1304" t="s">
        <v>2861</v>
      </c>
      <c r="K866" s="1305"/>
      <c r="L866" s="1306"/>
      <c r="M866" s="50"/>
      <c r="N866" s="105"/>
      <c r="O866" s="10"/>
      <c r="P866" s="9"/>
      <c r="Q866" s="34"/>
      <c r="R866" s="5"/>
      <c r="S866" s="35"/>
    </row>
    <row r="867" spans="1:19" ht="30" customHeight="1" x14ac:dyDescent="0.35">
      <c r="A867" s="185" t="s">
        <v>177</v>
      </c>
      <c r="B867" s="1272" t="s">
        <v>7</v>
      </c>
      <c r="C867" s="1272"/>
      <c r="D867" s="1272"/>
      <c r="E867" s="492" t="s">
        <v>178</v>
      </c>
      <c r="F867" s="397" t="s">
        <v>52</v>
      </c>
      <c r="G867" s="185"/>
      <c r="H867" s="185" t="s">
        <v>434</v>
      </c>
      <c r="I867" s="1221" t="s">
        <v>179</v>
      </c>
      <c r="J867" s="1222"/>
      <c r="K867" s="1209" t="s">
        <v>180</v>
      </c>
      <c r="L867" s="1210"/>
      <c r="M867" s="50"/>
      <c r="N867" s="105"/>
      <c r="O867" s="5"/>
      <c r="P867" s="9"/>
      <c r="Q867" s="34"/>
      <c r="R867" s="5"/>
      <c r="S867" s="35"/>
    </row>
    <row r="868" spans="1:19" ht="30" customHeight="1" x14ac:dyDescent="0.35">
      <c r="A868" s="401" t="s">
        <v>181</v>
      </c>
      <c r="B868" s="1265" t="s">
        <v>431</v>
      </c>
      <c r="C868" s="1265"/>
      <c r="D868" s="1265"/>
      <c r="E868" s="531">
        <v>7400</v>
      </c>
      <c r="F868" s="187">
        <v>876</v>
      </c>
      <c r="G868" s="532"/>
      <c r="H868" s="533"/>
      <c r="I868" s="1217" t="s">
        <v>2860</v>
      </c>
      <c r="J868" s="1218"/>
      <c r="K868" s="187">
        <f>+F868</f>
        <v>876</v>
      </c>
      <c r="L868" s="401" t="s">
        <v>108</v>
      </c>
      <c r="M868" s="50"/>
      <c r="N868" s="111"/>
      <c r="O868" s="5"/>
      <c r="P868" s="9"/>
      <c r="Q868" s="34"/>
      <c r="R868" s="5"/>
      <c r="S868" s="35"/>
    </row>
    <row r="869" spans="1:19" ht="30" customHeight="1" thickBot="1" x14ac:dyDescent="0.4">
      <c r="A869" s="186"/>
      <c r="B869" s="1264"/>
      <c r="C869" s="1264"/>
      <c r="D869" s="1264"/>
      <c r="E869" s="535"/>
      <c r="F869" s="536"/>
      <c r="G869" s="536"/>
      <c r="H869" s="537"/>
      <c r="I869" s="503"/>
      <c r="J869" s="494" t="s">
        <v>37</v>
      </c>
      <c r="K869" s="193">
        <f>+K868</f>
        <v>876</v>
      </c>
      <c r="L869" s="186" t="s">
        <v>108</v>
      </c>
      <c r="M869" s="50"/>
      <c r="N869" s="50"/>
      <c r="O869" s="5"/>
      <c r="P869" s="9"/>
      <c r="Q869" s="34"/>
      <c r="R869" s="5"/>
      <c r="S869" s="35"/>
    </row>
    <row r="870" spans="1:19" ht="30" customHeight="1" thickBot="1" x14ac:dyDescent="0.4">
      <c r="A870" s="1199"/>
      <c r="B870" s="1200"/>
      <c r="C870" s="1200"/>
      <c r="D870" s="1200"/>
      <c r="E870" s="1200"/>
      <c r="F870" s="1200"/>
      <c r="G870" s="1200"/>
      <c r="H870" s="1200"/>
      <c r="I870" s="1200"/>
      <c r="J870" s="1200"/>
      <c r="K870" s="1200"/>
      <c r="L870" s="1201"/>
      <c r="M870" s="50"/>
      <c r="N870" s="50"/>
      <c r="O870" s="5"/>
      <c r="P870" s="9"/>
      <c r="Q870" s="34"/>
      <c r="R870" s="5"/>
      <c r="S870" s="35"/>
    </row>
    <row r="871" spans="1:19" ht="30" customHeight="1" x14ac:dyDescent="0.35">
      <c r="A871" s="388" t="s">
        <v>1</v>
      </c>
      <c r="B871" s="389">
        <v>1725</v>
      </c>
      <c r="C871" s="453" t="s">
        <v>435</v>
      </c>
      <c r="D871" s="454"/>
      <c r="E871" s="392" t="s">
        <v>3</v>
      </c>
      <c r="F871" s="393" t="s">
        <v>40</v>
      </c>
      <c r="G871" s="520" t="s">
        <v>2</v>
      </c>
      <c r="H871" s="132">
        <v>1</v>
      </c>
      <c r="I871" s="392" t="s">
        <v>5</v>
      </c>
      <c r="J871" s="1207" t="s">
        <v>2481</v>
      </c>
      <c r="K871" s="1207"/>
      <c r="L871" s="1208"/>
      <c r="M871" s="50"/>
      <c r="N871" s="50"/>
      <c r="O871" s="5"/>
      <c r="P871" s="9"/>
      <c r="Q871" s="34"/>
      <c r="R871" s="5"/>
      <c r="S871" s="35"/>
    </row>
    <row r="872" spans="1:19" ht="30" customHeight="1" x14ac:dyDescent="0.35">
      <c r="A872" s="494" t="s">
        <v>187</v>
      </c>
      <c r="B872" s="1280" t="s">
        <v>211</v>
      </c>
      <c r="C872" s="1281"/>
      <c r="D872" s="1282"/>
      <c r="E872" s="566" t="s">
        <v>52</v>
      </c>
      <c r="F872" s="566" t="s">
        <v>53</v>
      </c>
      <c r="G872" s="1219" t="s">
        <v>54</v>
      </c>
      <c r="H872" s="1220"/>
      <c r="I872" s="185" t="s">
        <v>188</v>
      </c>
      <c r="J872" s="185"/>
      <c r="K872" s="1209" t="s">
        <v>180</v>
      </c>
      <c r="L872" s="1210"/>
      <c r="M872" s="96"/>
      <c r="N872" s="50"/>
      <c r="O872" s="5"/>
      <c r="P872" s="9"/>
      <c r="Q872" s="34"/>
      <c r="R872" s="5"/>
      <c r="S872" s="35"/>
    </row>
    <row r="873" spans="1:19" ht="30" customHeight="1" x14ac:dyDescent="0.35">
      <c r="A873" s="186" t="s">
        <v>2700</v>
      </c>
      <c r="B873" s="1212" t="s">
        <v>2701</v>
      </c>
      <c r="C873" s="1213"/>
      <c r="D873" s="1214"/>
      <c r="E873" s="787">
        <f>+(62.5+71.5)/2</f>
        <v>67</v>
      </c>
      <c r="F873" s="422" t="s">
        <v>108</v>
      </c>
      <c r="G873" s="707">
        <v>13455</v>
      </c>
      <c r="H873" s="708" t="s">
        <v>371</v>
      </c>
      <c r="I873" s="186">
        <v>1.1100000000000001</v>
      </c>
      <c r="J873" s="503"/>
      <c r="K873" s="335">
        <f>+E873*G873*I873</f>
        <v>1000648.3500000001</v>
      </c>
      <c r="L873" s="422" t="s">
        <v>40</v>
      </c>
      <c r="M873" s="50"/>
      <c r="N873" s="50"/>
      <c r="O873" s="5"/>
      <c r="P873" s="9"/>
      <c r="Q873" s="34"/>
      <c r="R873" s="5"/>
      <c r="S873" s="35"/>
    </row>
    <row r="874" spans="1:19" ht="30" customHeight="1" x14ac:dyDescent="0.35">
      <c r="A874" s="186" t="s">
        <v>2700</v>
      </c>
      <c r="B874" s="1202" t="s">
        <v>2702</v>
      </c>
      <c r="C874" s="1203"/>
      <c r="D874" s="1204"/>
      <c r="E874" s="787">
        <f>+(166+2360)/2</f>
        <v>1263</v>
      </c>
      <c r="F874" s="422" t="s">
        <v>40</v>
      </c>
      <c r="G874" s="788"/>
      <c r="H874" s="136"/>
      <c r="I874" s="186">
        <v>1.1100000000000001</v>
      </c>
      <c r="J874" s="186"/>
      <c r="K874" s="335">
        <f>+E874*I874</f>
        <v>1401.93</v>
      </c>
      <c r="L874" s="422" t="s">
        <v>40</v>
      </c>
      <c r="M874" s="96"/>
      <c r="N874" s="50"/>
      <c r="O874" s="5"/>
      <c r="P874" s="9"/>
      <c r="Q874" s="34"/>
      <c r="R874" s="5"/>
      <c r="S874" s="35"/>
    </row>
    <row r="875" spans="1:19" ht="30" customHeight="1" x14ac:dyDescent="0.35">
      <c r="A875" s="790"/>
      <c r="B875" s="1211"/>
      <c r="C875" s="1211"/>
      <c r="D875" s="1211"/>
      <c r="E875" s="194"/>
      <c r="F875" s="186"/>
      <c r="G875" s="422"/>
      <c r="H875" s="422"/>
      <c r="I875" s="186"/>
      <c r="J875" s="186" t="s">
        <v>251</v>
      </c>
      <c r="K875" s="209">
        <f>SUM(K873:K874)</f>
        <v>1002050.2800000001</v>
      </c>
      <c r="L875" s="186" t="s">
        <v>40</v>
      </c>
      <c r="M875" s="50"/>
      <c r="N875" s="50"/>
      <c r="O875" s="5"/>
      <c r="P875" s="9"/>
      <c r="Q875" s="34"/>
      <c r="R875" s="5"/>
      <c r="S875" s="35"/>
    </row>
    <row r="876" spans="1:19" ht="30" customHeight="1" x14ac:dyDescent="0.35">
      <c r="A876" s="186"/>
      <c r="B876" s="567"/>
      <c r="C876" s="567"/>
      <c r="D876" s="769" t="s">
        <v>440</v>
      </c>
      <c r="E876" s="194"/>
      <c r="F876" s="1215" t="s">
        <v>195</v>
      </c>
      <c r="G876" s="1273" t="s">
        <v>196</v>
      </c>
      <c r="H876" s="1273"/>
      <c r="I876" s="1273"/>
      <c r="J876" s="1273"/>
      <c r="K876" s="196">
        <v>1.06</v>
      </c>
      <c r="L876" s="186"/>
      <c r="M876" s="50"/>
      <c r="N876" s="50"/>
      <c r="O876" s="5"/>
      <c r="P876" s="9"/>
      <c r="Q876" s="34"/>
      <c r="R876" s="5"/>
      <c r="S876" s="35"/>
    </row>
    <row r="877" spans="1:19" ht="30" customHeight="1" x14ac:dyDescent="0.35">
      <c r="A877" s="186"/>
      <c r="B877" s="567"/>
      <c r="C877" s="567"/>
      <c r="D877" s="567"/>
      <c r="E877" s="194"/>
      <c r="F877" s="1216"/>
      <c r="G877" s="1268" t="s">
        <v>2477</v>
      </c>
      <c r="H877" s="1268"/>
      <c r="I877" s="1268"/>
      <c r="J877" s="1268"/>
      <c r="K877" s="196">
        <v>1.05</v>
      </c>
      <c r="L877" s="186"/>
      <c r="M877" s="50"/>
      <c r="N877" s="50"/>
      <c r="O877" s="5"/>
      <c r="P877" s="9"/>
      <c r="Q877" s="34"/>
      <c r="R877" s="5"/>
      <c r="S877" s="35"/>
    </row>
    <row r="878" spans="1:19" ht="30" customHeight="1" x14ac:dyDescent="0.35">
      <c r="A878" s="186"/>
      <c r="B878" s="186"/>
      <c r="C878" s="503"/>
      <c r="E878" s="503"/>
      <c r="F878" s="503"/>
      <c r="G878" s="503"/>
      <c r="H878" s="503"/>
      <c r="I878" s="503"/>
      <c r="J878" s="186" t="s">
        <v>37</v>
      </c>
      <c r="K878" s="202">
        <f>+K875*K876/K877</f>
        <v>1011593.616</v>
      </c>
      <c r="L878" s="186" t="s">
        <v>40</v>
      </c>
      <c r="M878" s="96"/>
      <c r="N878" s="50"/>
      <c r="O878" s="5"/>
      <c r="P878" s="9"/>
      <c r="Q878" s="34"/>
      <c r="R878" s="5"/>
      <c r="S878" s="35"/>
    </row>
    <row r="879" spans="1:19" ht="30" customHeight="1" x14ac:dyDescent="0.35">
      <c r="A879" s="186"/>
      <c r="B879" s="186"/>
      <c r="C879" s="503"/>
      <c r="D879" s="503"/>
      <c r="E879" s="503"/>
      <c r="F879" s="503"/>
      <c r="G879" s="1198" t="s">
        <v>257</v>
      </c>
      <c r="H879" s="1198"/>
      <c r="I879" s="1198"/>
      <c r="J879" s="560">
        <f>VLOOKUP(B871,'Mil Cost Premiums for PUCs'!$A$4:$R$285,18,FALSE)</f>
        <v>1.1379589900046172</v>
      </c>
      <c r="K879" s="193">
        <f>+K878*J879</f>
        <v>1151152.0495584786</v>
      </c>
      <c r="L879" s="186" t="s">
        <v>40</v>
      </c>
      <c r="M879" s="50"/>
      <c r="N879" s="50"/>
      <c r="O879" s="5"/>
      <c r="P879" s="9"/>
      <c r="Q879" s="34"/>
      <c r="R879" s="5"/>
      <c r="S879" s="35"/>
    </row>
    <row r="880" spans="1:19" ht="30" customHeight="1" thickBot="1" x14ac:dyDescent="0.4">
      <c r="A880" s="186"/>
      <c r="B880" s="186"/>
      <c r="C880" s="503"/>
      <c r="D880" s="503"/>
      <c r="E880" s="503"/>
      <c r="F880" s="503"/>
      <c r="G880" s="1309" t="s">
        <v>3000</v>
      </c>
      <c r="H880" s="1310"/>
      <c r="I880" s="1311"/>
      <c r="J880" s="560">
        <v>1.0438745311870361</v>
      </c>
      <c r="K880" s="193">
        <f>+K879*J880</f>
        <v>1201658.3060578527</v>
      </c>
      <c r="L880" s="186" t="s">
        <v>40</v>
      </c>
      <c r="M880" s="50"/>
      <c r="N880" s="50"/>
      <c r="O880" s="5"/>
      <c r="P880" s="9"/>
      <c r="Q880" s="34"/>
      <c r="R880" s="5"/>
      <c r="S880" s="35"/>
    </row>
    <row r="881" spans="1:19" ht="30" customHeight="1" thickBot="1" x14ac:dyDescent="0.4">
      <c r="A881" s="1199"/>
      <c r="B881" s="1200"/>
      <c r="C881" s="1200"/>
      <c r="D881" s="1200"/>
      <c r="E881" s="1200"/>
      <c r="F881" s="1200"/>
      <c r="G881" s="1200"/>
      <c r="H881" s="1200"/>
      <c r="I881" s="1200"/>
      <c r="J881" s="1200"/>
      <c r="K881" s="1200"/>
      <c r="L881" s="1201"/>
      <c r="M881" s="96"/>
      <c r="N881" s="50"/>
      <c r="O881" s="5"/>
      <c r="P881" s="9"/>
      <c r="Q881" s="34"/>
      <c r="R881" s="5"/>
      <c r="S881" s="35"/>
    </row>
    <row r="882" spans="1:19" ht="30" customHeight="1" x14ac:dyDescent="0.35">
      <c r="A882" s="388" t="s">
        <v>1</v>
      </c>
      <c r="B882" s="389">
        <v>1726</v>
      </c>
      <c r="C882" s="1345" t="s">
        <v>441</v>
      </c>
      <c r="D882" s="1346"/>
      <c r="E882" s="392" t="s">
        <v>3</v>
      </c>
      <c r="F882" s="393" t="s">
        <v>108</v>
      </c>
      <c r="G882" s="529" t="s">
        <v>2</v>
      </c>
      <c r="H882" s="132">
        <v>11000</v>
      </c>
      <c r="I882" s="392" t="s">
        <v>5</v>
      </c>
      <c r="J882" s="1207" t="s">
        <v>2481</v>
      </c>
      <c r="K882" s="1207"/>
      <c r="L882" s="1208"/>
      <c r="M882" s="50"/>
      <c r="N882" s="50"/>
      <c r="O882" s="5"/>
      <c r="P882" s="9"/>
      <c r="Q882" s="34"/>
      <c r="R882" s="5"/>
      <c r="S882" s="35"/>
    </row>
    <row r="883" spans="1:19" ht="30" customHeight="1" x14ac:dyDescent="0.35">
      <c r="A883" s="494" t="s">
        <v>187</v>
      </c>
      <c r="B883" s="1280" t="s">
        <v>211</v>
      </c>
      <c r="C883" s="1281"/>
      <c r="D883" s="1282"/>
      <c r="E883" s="566" t="s">
        <v>52</v>
      </c>
      <c r="F883" s="566" t="s">
        <v>53</v>
      </c>
      <c r="G883" s="1219" t="s">
        <v>54</v>
      </c>
      <c r="H883" s="1220"/>
      <c r="I883" s="1225" t="s">
        <v>188</v>
      </c>
      <c r="J883" s="1226"/>
      <c r="K883" s="1209" t="s">
        <v>180</v>
      </c>
      <c r="L883" s="1210"/>
      <c r="M883" s="50"/>
      <c r="N883" s="50"/>
      <c r="O883" s="5"/>
      <c r="P883" s="9"/>
      <c r="Q883" s="34"/>
      <c r="R883" s="5"/>
      <c r="S883" s="35"/>
    </row>
    <row r="884" spans="1:19" ht="30" customHeight="1" x14ac:dyDescent="0.35">
      <c r="A884" s="186" t="s">
        <v>442</v>
      </c>
      <c r="B884" s="1212" t="s">
        <v>443</v>
      </c>
      <c r="C884" s="1213"/>
      <c r="D884" s="1214"/>
      <c r="E884" s="193">
        <f>((13.45+22.65)/2)*1.45</f>
        <v>26.172499999999996</v>
      </c>
      <c r="F884" s="127" t="s">
        <v>349</v>
      </c>
      <c r="G884" s="336">
        <f>+(E884*10)</f>
        <v>261.72499999999997</v>
      </c>
      <c r="H884" s="188" t="s">
        <v>444</v>
      </c>
      <c r="I884" s="1372">
        <v>1.1200000000000001</v>
      </c>
      <c r="J884" s="1373"/>
      <c r="K884" s="194">
        <f>+G884*I884</f>
        <v>293.13200000000001</v>
      </c>
      <c r="L884" s="186" t="s">
        <v>108</v>
      </c>
      <c r="M884" s="50"/>
      <c r="N884" s="50"/>
      <c r="O884" s="5"/>
      <c r="P884" s="9"/>
      <c r="Q884" s="34"/>
      <c r="R884" s="5"/>
      <c r="S884" s="35"/>
    </row>
    <row r="885" spans="1:19" ht="30" customHeight="1" x14ac:dyDescent="0.35">
      <c r="A885" s="186" t="s">
        <v>445</v>
      </c>
      <c r="B885" s="1212" t="s">
        <v>446</v>
      </c>
      <c r="C885" s="1213"/>
      <c r="D885" s="1214"/>
      <c r="E885" s="10">
        <f>+(1.63+3.28)/2</f>
        <v>2.4550000000000001</v>
      </c>
      <c r="F885" s="186" t="s">
        <v>113</v>
      </c>
      <c r="G885" s="337">
        <f>+E885*5000/H882</f>
        <v>1.115909090909091</v>
      </c>
      <c r="H885" s="188" t="s">
        <v>447</v>
      </c>
      <c r="I885" s="1372">
        <v>1.1100000000000001</v>
      </c>
      <c r="J885" s="1373"/>
      <c r="K885" s="194">
        <f>+E885*G885*I885</f>
        <v>3.0409080681818184</v>
      </c>
      <c r="L885" s="186" t="s">
        <v>108</v>
      </c>
      <c r="M885" s="96"/>
      <c r="N885" s="50"/>
      <c r="O885" s="5"/>
      <c r="P885" s="9"/>
      <c r="Q885" s="34"/>
      <c r="R885" s="5"/>
      <c r="S885" s="35"/>
    </row>
    <row r="886" spans="1:19" ht="30" customHeight="1" x14ac:dyDescent="0.35">
      <c r="A886" s="186" t="s">
        <v>1496</v>
      </c>
      <c r="B886" s="1212" t="s">
        <v>2703</v>
      </c>
      <c r="C886" s="1213"/>
      <c r="D886" s="1214"/>
      <c r="E886" s="193">
        <f>+(19.7+25)/2</f>
        <v>22.35</v>
      </c>
      <c r="F886" s="186" t="s">
        <v>108</v>
      </c>
      <c r="G886" s="206">
        <f>+E886*3000/H882</f>
        <v>6.0954545454545457</v>
      </c>
      <c r="H886" s="188" t="s">
        <v>2704</v>
      </c>
      <c r="I886" s="1372">
        <v>1.1100000000000001</v>
      </c>
      <c r="J886" s="1373"/>
      <c r="K886" s="194">
        <f>+G886*I886</f>
        <v>6.7659545454545462</v>
      </c>
      <c r="L886" s="186" t="s">
        <v>108</v>
      </c>
      <c r="M886" s="96"/>
      <c r="N886" s="50"/>
      <c r="O886" s="5"/>
      <c r="P886" s="9"/>
      <c r="Q886" s="34"/>
      <c r="R886" s="5"/>
      <c r="S886" s="35"/>
    </row>
    <row r="887" spans="1:19" ht="30" customHeight="1" x14ac:dyDescent="0.35">
      <c r="A887" s="186" t="s">
        <v>242</v>
      </c>
      <c r="B887" s="1212" t="s">
        <v>449</v>
      </c>
      <c r="C887" s="1213"/>
      <c r="D887" s="1214"/>
      <c r="E887" s="193">
        <v>85750</v>
      </c>
      <c r="F887" s="186" t="s">
        <v>40</v>
      </c>
      <c r="G887" s="207">
        <f>4/H882</f>
        <v>3.6363636363636361E-4</v>
      </c>
      <c r="H887" s="188" t="s">
        <v>448</v>
      </c>
      <c r="I887" s="1372">
        <v>1.36</v>
      </c>
      <c r="J887" s="1373"/>
      <c r="K887" s="194">
        <f>+E887*G887*I887</f>
        <v>42.407272727272726</v>
      </c>
      <c r="L887" s="186" t="s">
        <v>108</v>
      </c>
      <c r="M887" s="50"/>
      <c r="N887" s="50"/>
      <c r="O887" s="5"/>
      <c r="P887" s="9"/>
      <c r="Q887" s="34"/>
      <c r="R887" s="5"/>
      <c r="S887" s="35"/>
    </row>
    <row r="888" spans="1:19" ht="30" customHeight="1" x14ac:dyDescent="0.35">
      <c r="A888" s="186" t="s">
        <v>450</v>
      </c>
      <c r="B888" s="1212" t="s">
        <v>451</v>
      </c>
      <c r="C888" s="1213"/>
      <c r="D888" s="1214"/>
      <c r="E888" s="193">
        <v>5400</v>
      </c>
      <c r="F888" s="186" t="s">
        <v>40</v>
      </c>
      <c r="G888" s="207">
        <f>4/H882</f>
        <v>3.6363636363636361E-4</v>
      </c>
      <c r="H888" s="188" t="s">
        <v>448</v>
      </c>
      <c r="I888" s="1372">
        <v>1.0900000000000001</v>
      </c>
      <c r="J888" s="1373"/>
      <c r="K888" s="194">
        <f>+E888*G888*I888</f>
        <v>2.1403636363636367</v>
      </c>
      <c r="L888" s="186" t="s">
        <v>108</v>
      </c>
      <c r="M888" s="50"/>
      <c r="N888" s="50"/>
      <c r="O888" s="5"/>
      <c r="P888" s="9"/>
      <c r="Q888" s="34"/>
      <c r="R888" s="5"/>
      <c r="S888" s="35"/>
    </row>
    <row r="889" spans="1:19" ht="30" customHeight="1" x14ac:dyDescent="0.35">
      <c r="A889" s="186" t="s">
        <v>452</v>
      </c>
      <c r="B889" s="1212" t="s">
        <v>453</v>
      </c>
      <c r="C889" s="1213"/>
      <c r="D889" s="1214"/>
      <c r="E889" s="193">
        <f>((30.5+45.25)/2)</f>
        <v>37.875</v>
      </c>
      <c r="F889" s="186" t="s">
        <v>28</v>
      </c>
      <c r="G889" s="207">
        <f>1800/H882</f>
        <v>0.16363636363636364</v>
      </c>
      <c r="H889" s="188" t="s">
        <v>454</v>
      </c>
      <c r="I889" s="1372">
        <v>1.0900000000000001</v>
      </c>
      <c r="J889" s="1373"/>
      <c r="K889" s="194">
        <f>+E889*G889*I889</f>
        <v>6.7555227272727274</v>
      </c>
      <c r="L889" s="186" t="s">
        <v>108</v>
      </c>
      <c r="M889" s="50"/>
      <c r="N889" s="50"/>
      <c r="O889" s="5"/>
      <c r="P889" s="9"/>
      <c r="Q889" s="34"/>
      <c r="R889" s="5"/>
      <c r="S889" s="35"/>
    </row>
    <row r="890" spans="1:19" ht="30" customHeight="1" x14ac:dyDescent="0.35">
      <c r="A890" s="186"/>
      <c r="B890" s="1264"/>
      <c r="C890" s="1264"/>
      <c r="D890" s="1264"/>
      <c r="E890" s="203"/>
      <c r="F890" s="186"/>
      <c r="G890" s="768"/>
      <c r="H890" s="534"/>
      <c r="I890" s="186"/>
      <c r="J890" s="186" t="s">
        <v>251</v>
      </c>
      <c r="K890" s="194">
        <f>SUM(K884:K889)</f>
        <v>354.24202170454544</v>
      </c>
      <c r="L890" s="186" t="s">
        <v>108</v>
      </c>
      <c r="M890" s="50"/>
      <c r="N890" s="50"/>
      <c r="O890" s="5"/>
      <c r="P890" s="9"/>
      <c r="Q890" s="34"/>
      <c r="R890" s="5"/>
      <c r="S890" s="35"/>
    </row>
    <row r="891" spans="1:19" ht="30" customHeight="1" x14ac:dyDescent="0.35">
      <c r="A891" s="271"/>
      <c r="B891" s="792"/>
      <c r="C891" s="792"/>
      <c r="D891" s="792"/>
      <c r="E891" s="301"/>
      <c r="F891" s="1215" t="s">
        <v>195</v>
      </c>
      <c r="G891" s="1273" t="s">
        <v>196</v>
      </c>
      <c r="H891" s="1273"/>
      <c r="I891" s="1273"/>
      <c r="J891" s="1273"/>
      <c r="K891" s="196">
        <v>1.06</v>
      </c>
      <c r="L891" s="271"/>
      <c r="M891" s="50"/>
      <c r="N891" s="50"/>
      <c r="O891" s="5"/>
      <c r="P891" s="9"/>
      <c r="Q891" s="34"/>
      <c r="R891" s="5"/>
      <c r="S891" s="35"/>
    </row>
    <row r="892" spans="1:19" ht="30" customHeight="1" x14ac:dyDescent="0.35">
      <c r="A892" s="271"/>
      <c r="B892" s="792"/>
      <c r="C892" s="792"/>
      <c r="D892" s="792"/>
      <c r="E892" s="301"/>
      <c r="F892" s="1216"/>
      <c r="G892" s="1268" t="s">
        <v>2477</v>
      </c>
      <c r="H892" s="1268"/>
      <c r="I892" s="1268"/>
      <c r="J892" s="1268"/>
      <c r="K892" s="196">
        <v>1.05</v>
      </c>
      <c r="L892" s="271"/>
      <c r="M892" s="50"/>
      <c r="N892" s="50"/>
      <c r="O892" s="5"/>
      <c r="P892" s="9"/>
      <c r="Q892" s="34"/>
      <c r="R892" s="5"/>
      <c r="S892" s="35"/>
    </row>
    <row r="893" spans="1:19" ht="30" customHeight="1" x14ac:dyDescent="0.35">
      <c r="A893" s="186"/>
      <c r="B893" s="186"/>
      <c r="C893" s="503"/>
      <c r="D893" s="503"/>
      <c r="E893" s="503"/>
      <c r="F893" s="503"/>
      <c r="G893" s="503"/>
      <c r="H893" s="503"/>
      <c r="I893" s="503"/>
      <c r="J893" s="186" t="s">
        <v>37</v>
      </c>
      <c r="K893" s="202">
        <f>+K890*K891/K892</f>
        <v>357.61575524458874</v>
      </c>
      <c r="L893" s="186" t="s">
        <v>108</v>
      </c>
      <c r="M893" s="50"/>
      <c r="N893" s="50"/>
      <c r="O893" s="5"/>
      <c r="P893" s="9"/>
      <c r="Q893" s="34"/>
      <c r="R893" s="5"/>
      <c r="S893" s="35"/>
    </row>
    <row r="894" spans="1:19" ht="30" customHeight="1" x14ac:dyDescent="0.35">
      <c r="A894" s="186"/>
      <c r="B894" s="186"/>
      <c r="C894" s="503"/>
      <c r="D894" s="503"/>
      <c r="E894" s="503"/>
      <c r="F894" s="503"/>
      <c r="G894" s="1198" t="s">
        <v>257</v>
      </c>
      <c r="H894" s="1198"/>
      <c r="I894" s="1198"/>
      <c r="J894" s="560">
        <f>VLOOKUP(B882,'Mil Cost Premiums for PUCs'!$A$4:$R$285,18,FALSE)</f>
        <v>1.0821211439999998</v>
      </c>
      <c r="K894" s="193">
        <f>+K893*J894</f>
        <v>386.98357017769831</v>
      </c>
      <c r="L894" s="186" t="s">
        <v>108</v>
      </c>
      <c r="M894" s="96"/>
      <c r="N894" s="50"/>
      <c r="O894" s="5"/>
      <c r="P894" s="9"/>
      <c r="Q894" s="34"/>
      <c r="R894" s="5"/>
      <c r="S894" s="35"/>
    </row>
    <row r="895" spans="1:19" ht="30" customHeight="1" thickBot="1" x14ac:dyDescent="0.4">
      <c r="A895" s="186"/>
      <c r="B895" s="186"/>
      <c r="C895" s="503"/>
      <c r="D895" s="503"/>
      <c r="E895" s="503"/>
      <c r="F895" s="503"/>
      <c r="G895" s="1309" t="s">
        <v>3000</v>
      </c>
      <c r="H895" s="1310"/>
      <c r="I895" s="1311"/>
      <c r="J895" s="560">
        <v>1.0438745311870361</v>
      </c>
      <c r="K895" s="193">
        <f>+K894*J895</f>
        <v>403.96229289633033</v>
      </c>
      <c r="L895" s="186" t="s">
        <v>108</v>
      </c>
      <c r="M895" s="96"/>
      <c r="N895" s="50"/>
      <c r="O895" s="5"/>
      <c r="P895" s="9"/>
      <c r="Q895" s="34"/>
      <c r="R895" s="5"/>
      <c r="S895" s="35"/>
    </row>
    <row r="896" spans="1:19" ht="30" customHeight="1" thickBot="1" x14ac:dyDescent="0.4">
      <c r="A896" s="1199"/>
      <c r="B896" s="1200"/>
      <c r="C896" s="1200"/>
      <c r="D896" s="1200"/>
      <c r="E896" s="1200"/>
      <c r="F896" s="1200"/>
      <c r="G896" s="1200"/>
      <c r="H896" s="1200"/>
      <c r="I896" s="1200"/>
      <c r="J896" s="1200"/>
      <c r="K896" s="1200"/>
      <c r="L896" s="1201"/>
      <c r="M896" s="50"/>
      <c r="N896" s="50"/>
      <c r="O896" s="10"/>
      <c r="P896" s="9"/>
      <c r="Q896" s="34"/>
      <c r="R896" s="5"/>
      <c r="S896" s="35"/>
    </row>
    <row r="897" spans="1:23" ht="30" customHeight="1" x14ac:dyDescent="0.35">
      <c r="A897" s="388" t="s">
        <v>1</v>
      </c>
      <c r="B897" s="389">
        <v>1731</v>
      </c>
      <c r="C897" s="1290" t="s">
        <v>455</v>
      </c>
      <c r="D897" s="1291"/>
      <c r="E897" s="392" t="s">
        <v>3</v>
      </c>
      <c r="F897" s="393" t="s">
        <v>108</v>
      </c>
      <c r="G897" s="390" t="s">
        <v>38</v>
      </c>
      <c r="H897" s="134">
        <v>1550.3941669609501</v>
      </c>
      <c r="I897" s="392" t="s">
        <v>5</v>
      </c>
      <c r="J897" s="1207" t="s">
        <v>2728</v>
      </c>
      <c r="K897" s="1207"/>
      <c r="L897" s="1208"/>
      <c r="M897" s="96"/>
      <c r="N897" s="50"/>
      <c r="O897" s="10"/>
      <c r="P897" s="9"/>
      <c r="Q897" s="34"/>
      <c r="R897" s="5"/>
      <c r="S897" s="35"/>
    </row>
    <row r="898" spans="1:23" ht="30" customHeight="1" x14ac:dyDescent="0.35">
      <c r="A898" s="185" t="s">
        <v>177</v>
      </c>
      <c r="B898" s="1272" t="s">
        <v>7</v>
      </c>
      <c r="C898" s="1272"/>
      <c r="D898" s="1272"/>
      <c r="E898" s="397" t="s">
        <v>52</v>
      </c>
      <c r="F898" s="185" t="s">
        <v>178</v>
      </c>
      <c r="G898" s="1292" t="s">
        <v>54</v>
      </c>
      <c r="H898" s="1293"/>
      <c r="I898" s="1221" t="s">
        <v>179</v>
      </c>
      <c r="J898" s="1222"/>
      <c r="K898" s="1209" t="s">
        <v>180</v>
      </c>
      <c r="L898" s="1210"/>
      <c r="M898" s="96"/>
      <c r="O898" s="10"/>
      <c r="P898" s="9"/>
      <c r="Q898" s="34"/>
      <c r="R898" s="5"/>
      <c r="S898" s="35"/>
    </row>
    <row r="899" spans="1:23" ht="30" customHeight="1" x14ac:dyDescent="0.35">
      <c r="A899" s="186">
        <v>17122</v>
      </c>
      <c r="B899" s="1202" t="s">
        <v>2729</v>
      </c>
      <c r="C899" s="1203"/>
      <c r="D899" s="1204"/>
      <c r="E899" s="194">
        <v>1022</v>
      </c>
      <c r="F899" s="203">
        <v>185</v>
      </c>
      <c r="G899" s="401"/>
      <c r="H899" s="401"/>
      <c r="I899" s="1332">
        <f>+'FY2024 MILCON Inflation Table'!F21</f>
        <v>0.97847358121330719</v>
      </c>
      <c r="J899" s="1333"/>
      <c r="K899" s="199">
        <f>+E899*I899</f>
        <v>1000</v>
      </c>
      <c r="L899" s="401" t="s">
        <v>108</v>
      </c>
      <c r="M899" s="50"/>
      <c r="N899" s="50"/>
      <c r="O899" s="5"/>
      <c r="P899" s="9"/>
      <c r="Q899" s="34"/>
      <c r="R899" s="5"/>
      <c r="S899" s="35"/>
    </row>
    <row r="900" spans="1:23" ht="30" customHeight="1" x14ac:dyDescent="0.35">
      <c r="A900" s="186">
        <v>17122</v>
      </c>
      <c r="B900" s="1202" t="s">
        <v>2877</v>
      </c>
      <c r="C900" s="1203"/>
      <c r="D900" s="1204"/>
      <c r="E900" s="194">
        <v>543</v>
      </c>
      <c r="F900" s="203">
        <v>800</v>
      </c>
      <c r="G900" s="401"/>
      <c r="H900" s="401"/>
      <c r="I900" s="1332">
        <f>+'FY2024 MILCON Inflation Table'!F23</f>
        <v>0.93863689284411045</v>
      </c>
      <c r="J900" s="1333"/>
      <c r="K900" s="199">
        <f>+E900*I900</f>
        <v>509.67983281435198</v>
      </c>
      <c r="L900" s="401" t="s">
        <v>108</v>
      </c>
      <c r="M900" s="50"/>
      <c r="N900" s="50"/>
      <c r="O900" s="5"/>
      <c r="P900" s="9"/>
      <c r="Q900" s="34"/>
      <c r="R900" s="5"/>
      <c r="S900" s="35"/>
    </row>
    <row r="901" spans="1:23" ht="30" customHeight="1" thickBot="1" x14ac:dyDescent="0.4">
      <c r="A901" s="186">
        <v>17123</v>
      </c>
      <c r="B901" s="1212" t="s">
        <v>2878</v>
      </c>
      <c r="C901" s="1213"/>
      <c r="D901" s="1214"/>
      <c r="E901" s="194">
        <v>491</v>
      </c>
      <c r="F901" s="203">
        <v>800</v>
      </c>
      <c r="G901" s="401"/>
      <c r="H901" s="401"/>
      <c r="I901" s="1551">
        <f>+I900</f>
        <v>0.93863689284411045</v>
      </c>
      <c r="J901" s="1552"/>
      <c r="K901" s="199">
        <f>+E901*I901</f>
        <v>460.87071438645825</v>
      </c>
      <c r="L901" s="401" t="s">
        <v>108</v>
      </c>
      <c r="M901" s="104"/>
      <c r="N901" s="50"/>
      <c r="O901" s="5"/>
      <c r="P901" s="9"/>
      <c r="Q901" s="34"/>
      <c r="R901" s="5"/>
      <c r="S901" s="35"/>
    </row>
    <row r="902" spans="1:23" ht="30" customHeight="1" x14ac:dyDescent="0.35">
      <c r="A902" s="186">
        <v>17139</v>
      </c>
      <c r="B902" s="1212" t="s">
        <v>2879</v>
      </c>
      <c r="C902" s="1213"/>
      <c r="D902" s="1214"/>
      <c r="E902" s="194">
        <v>497</v>
      </c>
      <c r="F902" s="203">
        <v>800</v>
      </c>
      <c r="G902" s="532"/>
      <c r="H902" s="532"/>
      <c r="I902" s="1551">
        <f>+I900</f>
        <v>0.93863689284411045</v>
      </c>
      <c r="J902" s="1552"/>
      <c r="K902" s="199">
        <f>+E902*I902</f>
        <v>466.50253574352291</v>
      </c>
      <c r="L902" s="401" t="s">
        <v>108</v>
      </c>
      <c r="M902" s="50"/>
      <c r="N902" s="50"/>
      <c r="O902" s="1784" t="s">
        <v>3033</v>
      </c>
      <c r="P902" s="1785"/>
      <c r="Q902" s="1785"/>
      <c r="R902" s="1785"/>
      <c r="S902" s="1785"/>
      <c r="T902" s="1786"/>
      <c r="U902" s="35"/>
    </row>
    <row r="903" spans="1:23" ht="30" customHeight="1" x14ac:dyDescent="0.35">
      <c r="A903" s="271"/>
      <c r="B903" s="744"/>
      <c r="C903" s="745"/>
      <c r="D903" s="745"/>
      <c r="E903" s="320"/>
      <c r="F903" s="321"/>
      <c r="G903" s="793"/>
      <c r="H903" s="794"/>
      <c r="I903" s="668"/>
      <c r="J903" s="669" t="s">
        <v>2551</v>
      </c>
      <c r="K903" s="307">
        <f>AVERAGE(K899:K902)</f>
        <v>609.26327073608331</v>
      </c>
      <c r="L903" s="409" t="s">
        <v>108</v>
      </c>
      <c r="M903" s="50"/>
      <c r="N903" s="50"/>
      <c r="O903" s="1787"/>
      <c r="P903" s="1788"/>
      <c r="Q903" s="1788"/>
      <c r="R903" s="1788"/>
      <c r="S903" s="1788"/>
      <c r="T903" s="1789"/>
      <c r="U903" s="35"/>
    </row>
    <row r="904" spans="1:23" ht="30" customHeight="1" thickBot="1" x14ac:dyDescent="0.4">
      <c r="A904" s="186"/>
      <c r="B904" s="529"/>
      <c r="C904" s="520"/>
      <c r="D904" s="520"/>
      <c r="E904" s="520"/>
      <c r="F904" s="784"/>
      <c r="G904" s="520"/>
      <c r="H904" s="750"/>
      <c r="I904" s="503"/>
      <c r="J904" s="494" t="s">
        <v>37</v>
      </c>
      <c r="K904" s="190">
        <f>+K903</f>
        <v>609.26327073608331</v>
      </c>
      <c r="L904" s="186" t="s">
        <v>108</v>
      </c>
      <c r="M904" s="96"/>
      <c r="N904" s="50"/>
      <c r="O904" s="1790"/>
      <c r="P904" s="1791"/>
      <c r="Q904" s="1791"/>
      <c r="R904" s="1791"/>
      <c r="S904" s="1791"/>
      <c r="T904" s="1792"/>
      <c r="U904" s="795"/>
      <c r="V904" s="795"/>
    </row>
    <row r="905" spans="1:23" ht="30" customHeight="1" thickBot="1" x14ac:dyDescent="0.4">
      <c r="A905" s="1199"/>
      <c r="B905" s="1200"/>
      <c r="C905" s="1200"/>
      <c r="D905" s="1200"/>
      <c r="E905" s="1200"/>
      <c r="F905" s="1200"/>
      <c r="G905" s="1200"/>
      <c r="H905" s="1200"/>
      <c r="I905" s="1200"/>
      <c r="J905" s="1200"/>
      <c r="K905" s="1200"/>
      <c r="L905" s="1201"/>
      <c r="M905" s="50"/>
      <c r="O905" s="1771" t="s">
        <v>456</v>
      </c>
      <c r="P905" s="1773" t="s">
        <v>457</v>
      </c>
      <c r="Q905" s="1775" t="s">
        <v>458</v>
      </c>
      <c r="R905" s="1773" t="s">
        <v>53</v>
      </c>
      <c r="S905" s="1777" t="s">
        <v>188</v>
      </c>
      <c r="T905" s="1779" t="s">
        <v>2844</v>
      </c>
      <c r="U905" s="795"/>
      <c r="V905" s="795"/>
    </row>
    <row r="906" spans="1:23" ht="30" customHeight="1" x14ac:dyDescent="0.35">
      <c r="A906" s="388" t="s">
        <v>1</v>
      </c>
      <c r="B906" s="389">
        <v>1732</v>
      </c>
      <c r="C906" s="1290" t="s">
        <v>460</v>
      </c>
      <c r="D906" s="1291"/>
      <c r="E906" s="392" t="s">
        <v>3</v>
      </c>
      <c r="F906" s="393" t="s">
        <v>108</v>
      </c>
      <c r="G906" s="390" t="s">
        <v>38</v>
      </c>
      <c r="H906" s="134">
        <v>10569.8206609808</v>
      </c>
      <c r="I906" s="392" t="s">
        <v>5</v>
      </c>
      <c r="J906" s="1207" t="s">
        <v>2730</v>
      </c>
      <c r="K906" s="1207"/>
      <c r="L906" s="1208"/>
      <c r="M906" s="104"/>
      <c r="N906" s="50"/>
      <c r="O906" s="1772"/>
      <c r="P906" s="1774"/>
      <c r="Q906" s="1776"/>
      <c r="R906" s="1774"/>
      <c r="S906" s="1778"/>
      <c r="T906" s="1780"/>
      <c r="U906" s="797"/>
      <c r="V906" s="797"/>
      <c r="W906" s="797"/>
    </row>
    <row r="907" spans="1:23" ht="30" customHeight="1" x14ac:dyDescent="0.35">
      <c r="A907" s="185" t="s">
        <v>177</v>
      </c>
      <c r="B907" s="1272" t="s">
        <v>7</v>
      </c>
      <c r="C907" s="1272"/>
      <c r="D907" s="1272"/>
      <c r="E907" s="397" t="s">
        <v>52</v>
      </c>
      <c r="F907" s="185" t="s">
        <v>178</v>
      </c>
      <c r="G907" s="1292" t="s">
        <v>54</v>
      </c>
      <c r="H907" s="1293"/>
      <c r="I907" s="1221" t="s">
        <v>179</v>
      </c>
      <c r="J907" s="1222"/>
      <c r="K907" s="1209" t="s">
        <v>180</v>
      </c>
      <c r="L907" s="1210"/>
      <c r="M907" s="96"/>
      <c r="N907" s="50"/>
      <c r="O907" s="798" t="s">
        <v>212</v>
      </c>
      <c r="P907" s="799" t="s">
        <v>459</v>
      </c>
      <c r="Q907" s="734">
        <v>60</v>
      </c>
      <c r="R907" s="422" t="s">
        <v>108</v>
      </c>
      <c r="S907" s="422">
        <v>1.0900000000000001</v>
      </c>
      <c r="T907" s="800">
        <f>1.05/1.07</f>
        <v>0.98130841121495327</v>
      </c>
      <c r="U907" s="797"/>
      <c r="V907" s="797"/>
      <c r="W907" s="797"/>
    </row>
    <row r="908" spans="1:23" ht="30" customHeight="1" x14ac:dyDescent="0.35">
      <c r="A908" s="186">
        <v>14129</v>
      </c>
      <c r="B908" s="1202" t="s">
        <v>464</v>
      </c>
      <c r="C908" s="1203"/>
      <c r="D908" s="1204"/>
      <c r="E908" s="194">
        <v>357</v>
      </c>
      <c r="F908" s="203">
        <v>135770</v>
      </c>
      <c r="G908" s="532"/>
      <c r="H908" s="532"/>
      <c r="I908" s="1332">
        <f>+'FY2024 MILCON Inflation Table'!F21</f>
        <v>0.97847358121330719</v>
      </c>
      <c r="J908" s="1333"/>
      <c r="K908" s="189">
        <f>+E908*I908</f>
        <v>349.31506849315065</v>
      </c>
      <c r="L908" s="401" t="s">
        <v>108</v>
      </c>
      <c r="M908" s="50"/>
      <c r="N908" s="50"/>
      <c r="O908" s="244" t="s">
        <v>461</v>
      </c>
      <c r="P908" s="280" t="s">
        <v>462</v>
      </c>
      <c r="Q908" s="801">
        <v>25.75</v>
      </c>
      <c r="R908" s="271" t="s">
        <v>108</v>
      </c>
      <c r="S908" s="782">
        <v>1.03</v>
      </c>
      <c r="T908" s="800">
        <f t="shared" ref="T908:T925" si="9">1.05/1.07</f>
        <v>0.98130841121495327</v>
      </c>
      <c r="U908" s="34"/>
    </row>
    <row r="909" spans="1:23" ht="30" customHeight="1" thickBot="1" x14ac:dyDescent="0.4">
      <c r="A909" s="186"/>
      <c r="B909" s="529"/>
      <c r="C909" s="520"/>
      <c r="D909" s="520"/>
      <c r="E909" s="520"/>
      <c r="F909" s="784"/>
      <c r="G909" s="520"/>
      <c r="H909" s="750"/>
      <c r="I909" s="503"/>
      <c r="J909" s="494" t="s">
        <v>37</v>
      </c>
      <c r="K909" s="190">
        <f>+K908</f>
        <v>349.31506849315065</v>
      </c>
      <c r="L909" s="186" t="s">
        <v>108</v>
      </c>
      <c r="M909" s="50"/>
      <c r="N909" s="10"/>
      <c r="O909" s="244" t="s">
        <v>221</v>
      </c>
      <c r="P909" s="280" t="s">
        <v>463</v>
      </c>
      <c r="Q909" s="801">
        <f>+((1990+2440)/2)+(4*((299+585)/2))</f>
        <v>3983</v>
      </c>
      <c r="R909" s="271" t="s">
        <v>40</v>
      </c>
      <c r="S909" s="782">
        <v>1.1000000000000001</v>
      </c>
      <c r="T909" s="800">
        <f t="shared" si="9"/>
        <v>0.98130841121495327</v>
      </c>
      <c r="U909" s="34"/>
    </row>
    <row r="910" spans="1:23" ht="30" customHeight="1" thickBot="1" x14ac:dyDescent="0.4">
      <c r="A910" s="1199"/>
      <c r="B910" s="1200"/>
      <c r="C910" s="1200"/>
      <c r="D910" s="1200"/>
      <c r="E910" s="1200"/>
      <c r="F910" s="1200"/>
      <c r="G910" s="1200"/>
      <c r="H910" s="1200"/>
      <c r="I910" s="1200"/>
      <c r="J910" s="1200"/>
      <c r="K910" s="1200"/>
      <c r="L910" s="1201"/>
      <c r="M910" s="162"/>
      <c r="N910" s="53"/>
      <c r="O910" s="244" t="s">
        <v>465</v>
      </c>
      <c r="P910" s="280" t="s">
        <v>466</v>
      </c>
      <c r="Q910" s="281">
        <f>+((5.87+8.77)/2)+(4*((0.53+0.77)/2))+((0.61+3.1)/2)</f>
        <v>11.775</v>
      </c>
      <c r="R910" s="271" t="s">
        <v>108</v>
      </c>
      <c r="S910" s="271">
        <v>1.07</v>
      </c>
      <c r="T910" s="800">
        <f t="shared" si="9"/>
        <v>0.98130841121495327</v>
      </c>
      <c r="U910" s="34"/>
    </row>
    <row r="911" spans="1:23" ht="30" customHeight="1" x14ac:dyDescent="0.35">
      <c r="A911" s="388" t="s">
        <v>1</v>
      </c>
      <c r="B911" s="389">
        <v>1733</v>
      </c>
      <c r="C911" s="1290" t="s">
        <v>468</v>
      </c>
      <c r="D911" s="1291"/>
      <c r="E911" s="392" t="s">
        <v>3</v>
      </c>
      <c r="F911" s="393" t="s">
        <v>108</v>
      </c>
      <c r="G911" s="390" t="s">
        <v>38</v>
      </c>
      <c r="H911" s="134">
        <v>1650</v>
      </c>
      <c r="I911" s="392" t="s">
        <v>5</v>
      </c>
      <c r="J911" s="1207" t="s">
        <v>2731</v>
      </c>
      <c r="K911" s="1207"/>
      <c r="L911" s="1208"/>
      <c r="M911" s="104"/>
      <c r="N911" s="53"/>
      <c r="O911" s="244" t="s">
        <v>465</v>
      </c>
      <c r="P911" s="280" t="s">
        <v>467</v>
      </c>
      <c r="Q911" s="282">
        <f>((5.87+8.77)/2)+(8*((0.53+0.77)/2))+((0.61+3.1)/2)</f>
        <v>14.375</v>
      </c>
      <c r="R911" s="271" t="s">
        <v>108</v>
      </c>
      <c r="S911" s="271">
        <v>1.07</v>
      </c>
      <c r="T911" s="800">
        <f t="shared" si="9"/>
        <v>0.98130841121495327</v>
      </c>
      <c r="U911" s="34"/>
    </row>
    <row r="912" spans="1:23" ht="30" customHeight="1" x14ac:dyDescent="0.35">
      <c r="A912" s="185" t="s">
        <v>177</v>
      </c>
      <c r="B912" s="1272" t="s">
        <v>7</v>
      </c>
      <c r="C912" s="1272"/>
      <c r="D912" s="1272"/>
      <c r="E912" s="397" t="s">
        <v>52</v>
      </c>
      <c r="F912" s="185" t="s">
        <v>178</v>
      </c>
      <c r="G912" s="1292" t="s">
        <v>54</v>
      </c>
      <c r="H912" s="1293"/>
      <c r="I912" s="1221" t="s">
        <v>179</v>
      </c>
      <c r="J912" s="1222"/>
      <c r="K912" s="1209" t="s">
        <v>180</v>
      </c>
      <c r="L912" s="1210"/>
      <c r="M912" s="162"/>
      <c r="N912" s="53"/>
      <c r="O912" s="244" t="s">
        <v>345</v>
      </c>
      <c r="P912" s="280" t="s">
        <v>2675</v>
      </c>
      <c r="Q912" s="801">
        <v>22.25</v>
      </c>
      <c r="R912" s="271" t="s">
        <v>108</v>
      </c>
      <c r="S912" s="271">
        <v>0.95</v>
      </c>
      <c r="T912" s="800">
        <f t="shared" si="9"/>
        <v>0.98130841121495327</v>
      </c>
      <c r="U912" s="34"/>
    </row>
    <row r="913" spans="1:21" ht="30" customHeight="1" x14ac:dyDescent="0.35">
      <c r="A913" s="186">
        <v>75061</v>
      </c>
      <c r="B913" s="1202" t="s">
        <v>471</v>
      </c>
      <c r="C913" s="1203"/>
      <c r="D913" s="1204"/>
      <c r="E913" s="194">
        <v>259372</v>
      </c>
      <c r="F913" s="203">
        <v>1</v>
      </c>
      <c r="G913" s="690">
        <f>+H911</f>
        <v>1650</v>
      </c>
      <c r="H913" s="186" t="s">
        <v>472</v>
      </c>
      <c r="I913" s="1332">
        <f>+'FY2024 MILCON Inflation Table'!F22</f>
        <v>0.95834826759383673</v>
      </c>
      <c r="J913" s="1333"/>
      <c r="K913" s="199">
        <f>+E913/G913*I913</f>
        <v>150.64770112869613</v>
      </c>
      <c r="L913" s="401" t="s">
        <v>108</v>
      </c>
      <c r="M913" s="105"/>
      <c r="N913" s="50"/>
      <c r="O913" s="244" t="s">
        <v>345</v>
      </c>
      <c r="P913" s="280" t="s">
        <v>469</v>
      </c>
      <c r="Q913" s="801">
        <f>+(6.13+7.18)/2</f>
        <v>6.6549999999999994</v>
      </c>
      <c r="R913" s="271" t="s">
        <v>108</v>
      </c>
      <c r="S913" s="271">
        <v>0.95</v>
      </c>
      <c r="T913" s="800">
        <f t="shared" si="9"/>
        <v>0.98130841121495327</v>
      </c>
      <c r="U913" s="34"/>
    </row>
    <row r="914" spans="1:21" ht="30" customHeight="1" x14ac:dyDescent="0.35">
      <c r="A914" s="186">
        <v>17139</v>
      </c>
      <c r="B914" s="1212" t="s">
        <v>474</v>
      </c>
      <c r="C914" s="1213"/>
      <c r="D914" s="1214"/>
      <c r="E914" s="194">
        <v>487</v>
      </c>
      <c r="F914" s="203">
        <v>800</v>
      </c>
      <c r="G914" s="692"/>
      <c r="H914" s="692"/>
      <c r="I914" s="1332">
        <f>+I913</f>
        <v>0.95834826759383673</v>
      </c>
      <c r="J914" s="1333"/>
      <c r="K914" s="199">
        <f>+E914*I914</f>
        <v>466.71560631819847</v>
      </c>
      <c r="L914" s="401" t="s">
        <v>108</v>
      </c>
      <c r="M914" s="104"/>
      <c r="N914" s="50"/>
      <c r="O914" s="244" t="s">
        <v>193</v>
      </c>
      <c r="P914" s="278" t="s">
        <v>470</v>
      </c>
      <c r="Q914" s="801">
        <f>+(510+820)/2</f>
        <v>665</v>
      </c>
      <c r="R914" s="271" t="s">
        <v>40</v>
      </c>
      <c r="S914" s="782">
        <v>1.01</v>
      </c>
      <c r="T914" s="800">
        <f t="shared" si="9"/>
        <v>0.98130841121495327</v>
      </c>
      <c r="U914" s="34"/>
    </row>
    <row r="915" spans="1:21" ht="30" customHeight="1" thickBot="1" x14ac:dyDescent="0.4">
      <c r="A915" s="186"/>
      <c r="B915" s="529"/>
      <c r="C915" s="520"/>
      <c r="D915" s="520"/>
      <c r="E915" s="802"/>
      <c r="F915" s="556"/>
      <c r="G915" s="802"/>
      <c r="H915" s="736" t="s">
        <v>192</v>
      </c>
      <c r="I915" s="503"/>
      <c r="J915" s="494" t="s">
        <v>37</v>
      </c>
      <c r="K915" s="199">
        <f>AVERAGE(K913:K914)</f>
        <v>308.68165372344731</v>
      </c>
      <c r="L915" s="186" t="s">
        <v>108</v>
      </c>
      <c r="M915" s="50"/>
      <c r="N915" s="50"/>
      <c r="O915" s="244" t="s">
        <v>193</v>
      </c>
      <c r="P915" s="278" t="s">
        <v>473</v>
      </c>
      <c r="Q915" s="801">
        <f>+(985+1430)/2</f>
        <v>1207.5</v>
      </c>
      <c r="R915" s="271" t="s">
        <v>40</v>
      </c>
      <c r="S915" s="782">
        <v>1.01</v>
      </c>
      <c r="T915" s="800">
        <f t="shared" si="9"/>
        <v>0.98130841121495327</v>
      </c>
      <c r="U915" s="34"/>
    </row>
    <row r="916" spans="1:21" ht="30" customHeight="1" thickBot="1" x14ac:dyDescent="0.4">
      <c r="A916" s="1199"/>
      <c r="B916" s="1200"/>
      <c r="C916" s="1200"/>
      <c r="D916" s="1200"/>
      <c r="E916" s="1200"/>
      <c r="F916" s="1200"/>
      <c r="G916" s="1200"/>
      <c r="H916" s="1200"/>
      <c r="I916" s="1200"/>
      <c r="J916" s="1200"/>
      <c r="K916" s="1200"/>
      <c r="L916" s="1201"/>
      <c r="M916" s="50"/>
      <c r="N916" s="50"/>
      <c r="O916" s="244" t="s">
        <v>193</v>
      </c>
      <c r="P916" s="278" t="s">
        <v>475</v>
      </c>
      <c r="Q916" s="801">
        <f>+(332+625)/2</f>
        <v>478.5</v>
      </c>
      <c r="R916" s="271" t="s">
        <v>40</v>
      </c>
      <c r="S916" s="782">
        <v>1.01</v>
      </c>
      <c r="T916" s="800">
        <f t="shared" si="9"/>
        <v>0.98130841121495327</v>
      </c>
      <c r="U916" s="34"/>
    </row>
    <row r="917" spans="1:21" ht="30" customHeight="1" x14ac:dyDescent="0.35">
      <c r="A917" s="388" t="s">
        <v>1</v>
      </c>
      <c r="B917" s="389">
        <v>1734</v>
      </c>
      <c r="C917" s="1290" t="s">
        <v>2895</v>
      </c>
      <c r="D917" s="1291"/>
      <c r="E917" s="392" t="s">
        <v>3</v>
      </c>
      <c r="F917" s="393" t="s">
        <v>28</v>
      </c>
      <c r="G917" s="390" t="s">
        <v>38</v>
      </c>
      <c r="H917" s="135">
        <v>35</v>
      </c>
      <c r="I917" s="392" t="s">
        <v>5</v>
      </c>
      <c r="J917" s="1207" t="s">
        <v>2897</v>
      </c>
      <c r="K917" s="1207"/>
      <c r="L917" s="1208"/>
      <c r="M917" s="96"/>
      <c r="N917" s="50"/>
      <c r="O917" s="244" t="s">
        <v>193</v>
      </c>
      <c r="P917" s="278" t="s">
        <v>476</v>
      </c>
      <c r="Q917" s="801">
        <f>+(1150+1820)/2</f>
        <v>1485</v>
      </c>
      <c r="R917" s="271" t="s">
        <v>40</v>
      </c>
      <c r="S917" s="782">
        <v>1.01</v>
      </c>
      <c r="T917" s="800">
        <f t="shared" si="9"/>
        <v>0.98130841121495327</v>
      </c>
      <c r="U917" s="34"/>
    </row>
    <row r="918" spans="1:21" ht="30" customHeight="1" x14ac:dyDescent="0.35">
      <c r="A918" s="185" t="s">
        <v>177</v>
      </c>
      <c r="B918" s="1272" t="s">
        <v>7</v>
      </c>
      <c r="C918" s="1272"/>
      <c r="D918" s="1272"/>
      <c r="E918" s="397" t="s">
        <v>52</v>
      </c>
      <c r="F918" s="185" t="s">
        <v>178</v>
      </c>
      <c r="G918" s="1292" t="s">
        <v>54</v>
      </c>
      <c r="H918" s="1293"/>
      <c r="I918" s="1221" t="s">
        <v>179</v>
      </c>
      <c r="J918" s="1222"/>
      <c r="K918" s="1209" t="s">
        <v>180</v>
      </c>
      <c r="L918" s="1210"/>
      <c r="M918" s="96"/>
      <c r="N918" s="50"/>
      <c r="O918" s="244" t="s">
        <v>477</v>
      </c>
      <c r="P918" s="280" t="s">
        <v>478</v>
      </c>
      <c r="Q918" s="801">
        <f>190+(((11.95+23.85))/2)</f>
        <v>207.9</v>
      </c>
      <c r="R918" s="271" t="s">
        <v>40</v>
      </c>
      <c r="S918" s="782">
        <v>1.01</v>
      </c>
      <c r="T918" s="800">
        <f t="shared" si="9"/>
        <v>0.98130841121495327</v>
      </c>
      <c r="U918" s="34"/>
    </row>
    <row r="919" spans="1:21" ht="30" customHeight="1" x14ac:dyDescent="0.35">
      <c r="A919" s="186"/>
      <c r="B919" s="1265"/>
      <c r="C919" s="1265"/>
      <c r="D919" s="1265"/>
      <c r="E919" s="214"/>
      <c r="F919" s="121"/>
      <c r="G919" s="186"/>
      <c r="H919" s="401"/>
      <c r="I919" s="1332"/>
      <c r="J919" s="1333"/>
      <c r="K919" s="199"/>
      <c r="L919" s="401"/>
      <c r="M919" s="50"/>
      <c r="N919" s="50"/>
      <c r="O919" s="244" t="s">
        <v>479</v>
      </c>
      <c r="P919" s="280" t="s">
        <v>480</v>
      </c>
      <c r="Q919" s="801">
        <f>24.7+1.15</f>
        <v>25.849999999999998</v>
      </c>
      <c r="R919" s="271" t="s">
        <v>28</v>
      </c>
      <c r="S919" s="782">
        <v>1.01</v>
      </c>
      <c r="T919" s="800">
        <f t="shared" si="9"/>
        <v>0.98130841121495327</v>
      </c>
      <c r="U919" s="34"/>
    </row>
    <row r="920" spans="1:21" ht="30" customHeight="1" x14ac:dyDescent="0.35">
      <c r="A920" s="186">
        <v>17971</v>
      </c>
      <c r="B920" s="1558" t="s">
        <v>2898</v>
      </c>
      <c r="C920" s="1558"/>
      <c r="D920" s="1558"/>
      <c r="E920" s="803">
        <v>944949</v>
      </c>
      <c r="F920" s="203">
        <v>1</v>
      </c>
      <c r="G920" s="804">
        <f>+H917</f>
        <v>35</v>
      </c>
      <c r="H920" s="401" t="s">
        <v>1749</v>
      </c>
      <c r="I920" s="1332">
        <f>+'FY2024 MILCON Inflation Table'!F23</f>
        <v>0.93863689284411045</v>
      </c>
      <c r="J920" s="1333"/>
      <c r="K920" s="199">
        <f>+E920/G920*I920</f>
        <v>25341.828378747123</v>
      </c>
      <c r="L920" s="401" t="s">
        <v>28</v>
      </c>
      <c r="M920" s="50"/>
      <c r="O920" s="244" t="s">
        <v>479</v>
      </c>
      <c r="P920" s="280" t="s">
        <v>481</v>
      </c>
      <c r="Q920" s="801">
        <v>22.05</v>
      </c>
      <c r="R920" s="271" t="s">
        <v>28</v>
      </c>
      <c r="S920" s="782">
        <v>1.01</v>
      </c>
      <c r="T920" s="800">
        <f t="shared" si="9"/>
        <v>0.98130841121495327</v>
      </c>
      <c r="U920" s="34"/>
    </row>
    <row r="921" spans="1:21" ht="30" customHeight="1" thickBot="1" x14ac:dyDescent="0.4">
      <c r="A921" s="186"/>
      <c r="B921" s="1605" t="s">
        <v>2896</v>
      </c>
      <c r="C921" s="1606"/>
      <c r="D921" s="1606"/>
      <c r="E921" s="520"/>
      <c r="F921" s="784"/>
      <c r="G921" s="520"/>
      <c r="H921" s="750"/>
      <c r="I921" s="503"/>
      <c r="J921" s="494" t="s">
        <v>37</v>
      </c>
      <c r="K921" s="190">
        <f>AVERAGE(K919,K920)</f>
        <v>25341.828378747123</v>
      </c>
      <c r="L921" s="401" t="s">
        <v>28</v>
      </c>
      <c r="M921" s="50"/>
      <c r="N921" s="50"/>
      <c r="O921" s="244" t="s">
        <v>333</v>
      </c>
      <c r="P921" s="278" t="s">
        <v>482</v>
      </c>
      <c r="Q921" s="801">
        <f>(24+27.75)/2</f>
        <v>25.875</v>
      </c>
      <c r="R921" s="271" t="s">
        <v>28</v>
      </c>
      <c r="S921" s="271">
        <v>1.01</v>
      </c>
      <c r="T921" s="800">
        <f t="shared" si="9"/>
        <v>0.98130841121495327</v>
      </c>
      <c r="U921" s="34"/>
    </row>
    <row r="922" spans="1:21" ht="30" customHeight="1" thickBot="1" x14ac:dyDescent="0.4">
      <c r="A922" s="1199"/>
      <c r="B922" s="1200"/>
      <c r="C922" s="1200"/>
      <c r="D922" s="1200"/>
      <c r="E922" s="1200"/>
      <c r="F922" s="1200"/>
      <c r="G922" s="1200"/>
      <c r="H922" s="1200"/>
      <c r="I922" s="1200"/>
      <c r="J922" s="1200"/>
      <c r="K922" s="1200"/>
      <c r="L922" s="1201"/>
      <c r="M922" s="50"/>
      <c r="N922" s="50"/>
      <c r="O922" s="244" t="s">
        <v>333</v>
      </c>
      <c r="P922" s="278" t="s">
        <v>483</v>
      </c>
      <c r="Q922" s="801">
        <f>+(2420+5500)/2</f>
        <v>3960</v>
      </c>
      <c r="R922" s="271" t="s">
        <v>40</v>
      </c>
      <c r="S922" s="271">
        <v>1.01</v>
      </c>
      <c r="T922" s="800">
        <f t="shared" si="9"/>
        <v>0.98130841121495327</v>
      </c>
      <c r="U922" s="34"/>
    </row>
    <row r="923" spans="1:21" ht="30" customHeight="1" x14ac:dyDescent="0.35">
      <c r="A923" s="602" t="s">
        <v>216</v>
      </c>
      <c r="B923" s="602">
        <v>1735</v>
      </c>
      <c r="C923" s="1243" t="s">
        <v>3003</v>
      </c>
      <c r="D923" s="1244"/>
      <c r="E923" s="548" t="s">
        <v>3</v>
      </c>
      <c r="F923" s="549" t="s">
        <v>108</v>
      </c>
      <c r="G923" s="513" t="s">
        <v>2</v>
      </c>
      <c r="H923" s="379">
        <v>200</v>
      </c>
      <c r="I923" s="548" t="s">
        <v>5</v>
      </c>
      <c r="J923" s="1245" t="s">
        <v>3004</v>
      </c>
      <c r="K923" s="1246"/>
      <c r="L923" s="1247"/>
      <c r="M923" s="594"/>
      <c r="N923" s="50"/>
      <c r="O923" s="244" t="s">
        <v>221</v>
      </c>
      <c r="P923" s="280" t="s">
        <v>484</v>
      </c>
      <c r="Q923" s="801">
        <f>(81+(3.25*18))*4</f>
        <v>558</v>
      </c>
      <c r="R923" s="271" t="s">
        <v>40</v>
      </c>
      <c r="S923" s="782">
        <v>1.1000000000000001</v>
      </c>
      <c r="T923" s="800">
        <f t="shared" si="9"/>
        <v>0.98130841121495327</v>
      </c>
      <c r="U923" s="34"/>
    </row>
    <row r="924" spans="1:21" ht="30" customHeight="1" x14ac:dyDescent="0.35">
      <c r="A924" s="446" t="s">
        <v>506</v>
      </c>
      <c r="B924" s="603" t="s">
        <v>211</v>
      </c>
      <c r="C924" s="1259"/>
      <c r="D924" s="1250"/>
      <c r="E924" s="448" t="s">
        <v>52</v>
      </c>
      <c r="F924" s="448" t="s">
        <v>53</v>
      </c>
      <c r="G924" s="1225" t="s">
        <v>3034</v>
      </c>
      <c r="H924" s="1226"/>
      <c r="I924" s="1225" t="s">
        <v>56</v>
      </c>
      <c r="J924" s="1226"/>
      <c r="K924" s="1249" t="s">
        <v>180</v>
      </c>
      <c r="L924" s="1250"/>
      <c r="M924"/>
      <c r="N924" s="50"/>
      <c r="O924" s="244" t="s">
        <v>345</v>
      </c>
      <c r="P924" s="283" t="s">
        <v>485</v>
      </c>
      <c r="Q924" s="801">
        <v>27</v>
      </c>
      <c r="R924" s="271" t="s">
        <v>40</v>
      </c>
      <c r="S924" s="271">
        <v>0.95</v>
      </c>
      <c r="T924" s="800">
        <f t="shared" si="9"/>
        <v>0.98130841121495327</v>
      </c>
      <c r="U924" s="34"/>
    </row>
    <row r="925" spans="1:21" ht="30" customHeight="1" x14ac:dyDescent="0.35">
      <c r="A925" s="271">
        <v>62010</v>
      </c>
      <c r="B925" s="1186" t="s">
        <v>3005</v>
      </c>
      <c r="C925" s="1187"/>
      <c r="D925" s="1188"/>
      <c r="E925" s="381">
        <v>235</v>
      </c>
      <c r="F925" s="409" t="s">
        <v>108</v>
      </c>
      <c r="G925" s="1312"/>
      <c r="H925" s="1313"/>
      <c r="I925" s="1189">
        <f>+'FY2024 MILCON Inflation Table'!F8</f>
        <v>1.7467053391350638</v>
      </c>
      <c r="J925" s="1190"/>
      <c r="K925" s="578">
        <f>+E925*I925</f>
        <v>410.47575469674001</v>
      </c>
      <c r="L925" s="409" t="s">
        <v>108</v>
      </c>
      <c r="M925"/>
      <c r="N925" s="50"/>
      <c r="O925" s="244" t="s">
        <v>347</v>
      </c>
      <c r="P925" s="280" t="s">
        <v>489</v>
      </c>
      <c r="Q925" s="801">
        <v>32</v>
      </c>
      <c r="R925" s="271" t="s">
        <v>108</v>
      </c>
      <c r="S925" s="782">
        <v>1.01</v>
      </c>
      <c r="T925" s="800">
        <f t="shared" si="9"/>
        <v>0.98130841121495327</v>
      </c>
      <c r="U925" s="34"/>
    </row>
    <row r="926" spans="1:21" ht="30" customHeight="1" x14ac:dyDescent="0.35">
      <c r="A926" s="409" t="s">
        <v>3006</v>
      </c>
      <c r="B926" s="1186" t="s">
        <v>3007</v>
      </c>
      <c r="C926" s="1187"/>
      <c r="D926" s="1188"/>
      <c r="E926" s="805">
        <f>+((123+146)/2+(510+820)/2)*0.7</f>
        <v>559.65</v>
      </c>
      <c r="F926" s="409" t="s">
        <v>108</v>
      </c>
      <c r="G926" s="1312">
        <v>1.0738000000000001</v>
      </c>
      <c r="H926" s="1313"/>
      <c r="I926" s="1314">
        <v>1.0900000000000001</v>
      </c>
      <c r="J926" s="1315"/>
      <c r="K926" s="578">
        <f>+E926*I926*G926</f>
        <v>655.03786530000002</v>
      </c>
      <c r="L926" s="409" t="s">
        <v>108</v>
      </c>
      <c r="M926"/>
      <c r="N926" s="50"/>
      <c r="O926" s="244">
        <v>85110</v>
      </c>
      <c r="P926" s="280" t="s">
        <v>490</v>
      </c>
      <c r="Q926" s="801">
        <v>35.07</v>
      </c>
      <c r="R926" s="271" t="s">
        <v>4</v>
      </c>
      <c r="S926" s="597">
        <f>+'FY2024 MILCON Inflation Table'!F23</f>
        <v>0.93863689284411045</v>
      </c>
      <c r="T926" s="806"/>
      <c r="U926" s="34"/>
    </row>
    <row r="927" spans="1:21" ht="30" customHeight="1" x14ac:dyDescent="0.35">
      <c r="A927" s="514"/>
      <c r="B927" s="1254"/>
      <c r="C927" s="1255"/>
      <c r="D927" s="1256"/>
      <c r="E927" s="514"/>
      <c r="F927" s="514"/>
      <c r="G927" s="514"/>
      <c r="H927" s="514"/>
      <c r="I927" s="514"/>
      <c r="J927" s="588" t="s">
        <v>2551</v>
      </c>
      <c r="K927" s="578">
        <f>AVERAGE(K925:K926)</f>
        <v>532.75680999837004</v>
      </c>
      <c r="L927" s="409" t="s">
        <v>108</v>
      </c>
      <c r="M927"/>
      <c r="N927" s="50"/>
      <c r="O927" s="244">
        <v>85110</v>
      </c>
      <c r="P927" s="280" t="s">
        <v>492</v>
      </c>
      <c r="Q927" s="801">
        <v>158.93</v>
      </c>
      <c r="R927" s="271" t="s">
        <v>4</v>
      </c>
      <c r="S927" s="597">
        <f>+S926</f>
        <v>0.93863689284411045</v>
      </c>
      <c r="T927" s="806"/>
      <c r="U927" s="34"/>
    </row>
    <row r="928" spans="1:21" ht="30" customHeight="1" thickBot="1" x14ac:dyDescent="0.4">
      <c r="A928" s="605"/>
      <c r="B928" s="1254"/>
      <c r="C928" s="1255"/>
      <c r="D928" s="1256"/>
      <c r="E928" s="1257"/>
      <c r="F928" s="1258"/>
      <c r="G928" s="1238"/>
      <c r="H928" s="1239"/>
      <c r="I928" s="606"/>
      <c r="J928" s="607" t="s">
        <v>37</v>
      </c>
      <c r="K928" s="608">
        <f>+K927</f>
        <v>532.75680999837004</v>
      </c>
      <c r="L928" s="605" t="s">
        <v>108</v>
      </c>
      <c r="M928"/>
      <c r="N928" s="50"/>
      <c r="O928" s="244">
        <v>93410</v>
      </c>
      <c r="P928" s="280" t="s">
        <v>493</v>
      </c>
      <c r="Q928" s="801">
        <v>11.54</v>
      </c>
      <c r="R928" s="271" t="s">
        <v>16</v>
      </c>
      <c r="S928" s="597">
        <f>+S926</f>
        <v>0.93863689284411045</v>
      </c>
      <c r="T928" s="807"/>
      <c r="U928" s="34"/>
    </row>
    <row r="929" spans="1:21" ht="30" customHeight="1" thickBot="1" x14ac:dyDescent="0.4">
      <c r="A929" s="1240"/>
      <c r="B929" s="1241"/>
      <c r="C929" s="1241"/>
      <c r="D929" s="1241"/>
      <c r="E929" s="1241"/>
      <c r="F929" s="1241"/>
      <c r="G929" s="1241"/>
      <c r="H929" s="1241"/>
      <c r="I929" s="1241"/>
      <c r="J929" s="1241"/>
      <c r="K929" s="1241"/>
      <c r="L929" s="1242"/>
      <c r="M929"/>
      <c r="N929" s="50"/>
      <c r="O929" s="244">
        <v>93410</v>
      </c>
      <c r="P929" s="280" t="s">
        <v>495</v>
      </c>
      <c r="Q929" s="801">
        <v>2.91</v>
      </c>
      <c r="R929" s="271" t="s">
        <v>4</v>
      </c>
      <c r="S929" s="597">
        <f>+S926</f>
        <v>0.93863689284411045</v>
      </c>
      <c r="T929" s="807"/>
      <c r="U929" s="34"/>
    </row>
    <row r="930" spans="1:21" ht="30" customHeight="1" x14ac:dyDescent="0.35">
      <c r="A930" s="808" t="s">
        <v>1</v>
      </c>
      <c r="B930" s="809">
        <v>1736</v>
      </c>
      <c r="C930" s="1269" t="s">
        <v>3008</v>
      </c>
      <c r="D930" s="1269"/>
      <c r="E930" s="810" t="s">
        <v>3</v>
      </c>
      <c r="F930" s="811" t="s">
        <v>40</v>
      </c>
      <c r="G930" s="812" t="s">
        <v>3009</v>
      </c>
      <c r="H930" s="811">
        <v>1</v>
      </c>
      <c r="I930" s="811" t="s">
        <v>5</v>
      </c>
      <c r="J930" s="1513" t="s">
        <v>3010</v>
      </c>
      <c r="K930" s="1513"/>
      <c r="L930" s="1514"/>
      <c r="M930" s="594"/>
      <c r="N930" s="50"/>
      <c r="O930" s="244">
        <v>93210</v>
      </c>
      <c r="P930" s="278" t="s">
        <v>496</v>
      </c>
      <c r="Q930" s="801">
        <v>149.81</v>
      </c>
      <c r="R930" s="271" t="s">
        <v>16</v>
      </c>
      <c r="S930" s="597">
        <f>+S926</f>
        <v>0.93863689284411045</v>
      </c>
      <c r="T930" s="807"/>
      <c r="U930" s="34"/>
    </row>
    <row r="931" spans="1:21" ht="30" customHeight="1" thickBot="1" x14ac:dyDescent="0.4">
      <c r="A931" s="813" t="s">
        <v>506</v>
      </c>
      <c r="B931" s="1283" t="s">
        <v>211</v>
      </c>
      <c r="C931" s="1283"/>
      <c r="D931" s="1283"/>
      <c r="E931" s="814" t="s">
        <v>52</v>
      </c>
      <c r="F931" s="814" t="s">
        <v>53</v>
      </c>
      <c r="G931" s="1284" t="s">
        <v>54</v>
      </c>
      <c r="H931" s="1284"/>
      <c r="I931" s="814" t="s">
        <v>188</v>
      </c>
      <c r="J931" s="814" t="s">
        <v>195</v>
      </c>
      <c r="K931" s="814" t="s">
        <v>180</v>
      </c>
      <c r="L931" s="815"/>
      <c r="M931"/>
      <c r="N931" s="50"/>
      <c r="O931" s="816">
        <v>85110</v>
      </c>
      <c r="P931" s="817" t="s">
        <v>497</v>
      </c>
      <c r="Q931" s="818">
        <v>187.39</v>
      </c>
      <c r="R931" s="3" t="s">
        <v>4</v>
      </c>
      <c r="S931" s="819">
        <f>+S926</f>
        <v>0.93863689284411045</v>
      </c>
      <c r="T931" s="820"/>
      <c r="U931" s="34"/>
    </row>
    <row r="932" spans="1:21" ht="30" customHeight="1" x14ac:dyDescent="0.35">
      <c r="A932" s="821" t="s">
        <v>465</v>
      </c>
      <c r="B932" s="1285" t="s">
        <v>3011</v>
      </c>
      <c r="C932" s="1285"/>
      <c r="D932" s="1285"/>
      <c r="E932" s="382">
        <f>(5.87+8.77)/2+(((0.53+0.77)/2)*4)+((0.61+3.1)/2)</f>
        <v>11.775</v>
      </c>
      <c r="F932" s="822" t="s">
        <v>108</v>
      </c>
      <c r="G932" s="822">
        <v>800</v>
      </c>
      <c r="H932" s="822" t="s">
        <v>609</v>
      </c>
      <c r="I932" s="822">
        <v>1.07</v>
      </c>
      <c r="J932" s="823">
        <f>1.05/1.07</f>
        <v>0.98130841121495327</v>
      </c>
      <c r="K932" s="824">
        <f>+E932*G932*I932*J932</f>
        <v>9891.0000000000018</v>
      </c>
      <c r="L932" s="825" t="s">
        <v>40</v>
      </c>
      <c r="M932"/>
      <c r="N932" s="50"/>
      <c r="O932" s="5"/>
      <c r="P932" s="9"/>
      <c r="Q932" s="34"/>
      <c r="R932" s="5"/>
      <c r="S932" s="5"/>
      <c r="T932" s="5"/>
      <c r="U932" s="34"/>
    </row>
    <row r="933" spans="1:21" ht="30" customHeight="1" x14ac:dyDescent="0.35">
      <c r="A933" s="821" t="s">
        <v>193</v>
      </c>
      <c r="B933" s="1285" t="s">
        <v>470</v>
      </c>
      <c r="C933" s="1285"/>
      <c r="D933" s="1285"/>
      <c r="E933" s="382">
        <f>+(510+820)/2</f>
        <v>665</v>
      </c>
      <c r="F933" s="822" t="s">
        <v>40</v>
      </c>
      <c r="G933" s="822">
        <v>1</v>
      </c>
      <c r="H933" s="822" t="s">
        <v>610</v>
      </c>
      <c r="I933" s="822">
        <v>1.01</v>
      </c>
      <c r="J933" s="823">
        <f>1.05/1.07</f>
        <v>0.98130841121495327</v>
      </c>
      <c r="K933" s="824">
        <f>+E933*G933*I933*J933</f>
        <v>659.09579439252332</v>
      </c>
      <c r="L933" s="825" t="s">
        <v>40</v>
      </c>
      <c r="M933"/>
      <c r="O933" s="5"/>
      <c r="P933" s="9"/>
      <c r="Q933" s="34"/>
      <c r="R933" s="5"/>
      <c r="S933" s="5"/>
      <c r="T933" s="5"/>
      <c r="U933" s="35"/>
    </row>
    <row r="934" spans="1:21" ht="30" customHeight="1" x14ac:dyDescent="0.35">
      <c r="A934" s="821" t="s">
        <v>193</v>
      </c>
      <c r="B934" s="1285" t="s">
        <v>475</v>
      </c>
      <c r="C934" s="1285"/>
      <c r="D934" s="1285"/>
      <c r="E934" s="382">
        <f>+(332+625)/2</f>
        <v>478.5</v>
      </c>
      <c r="F934" s="822" t="s">
        <v>40</v>
      </c>
      <c r="G934" s="822">
        <v>6</v>
      </c>
      <c r="H934" s="822" t="s">
        <v>610</v>
      </c>
      <c r="I934" s="822">
        <v>1.01</v>
      </c>
      <c r="J934" s="823">
        <f>1.05/1.07</f>
        <v>0.98130841121495327</v>
      </c>
      <c r="K934" s="824">
        <f>+E934*G934*I934*J934</f>
        <v>2845.509813084112</v>
      </c>
      <c r="L934" s="825" t="s">
        <v>40</v>
      </c>
      <c r="M934"/>
      <c r="N934" s="50"/>
      <c r="O934" s="5"/>
      <c r="P934" s="9"/>
      <c r="Q934" s="34"/>
      <c r="R934" s="5"/>
      <c r="U934" s="35"/>
    </row>
    <row r="935" spans="1:21" ht="30" customHeight="1" x14ac:dyDescent="0.35">
      <c r="A935" s="821" t="s">
        <v>477</v>
      </c>
      <c r="B935" s="1285" t="s">
        <v>3012</v>
      </c>
      <c r="C935" s="1285"/>
      <c r="D935" s="1285"/>
      <c r="E935" s="382">
        <f>190+(11.95+23.85)/2</f>
        <v>207.9</v>
      </c>
      <c r="F935" s="822" t="s">
        <v>40</v>
      </c>
      <c r="G935" s="822">
        <v>12</v>
      </c>
      <c r="H935" s="822" t="s">
        <v>610</v>
      </c>
      <c r="I935" s="822">
        <v>1.01</v>
      </c>
      <c r="J935" s="823">
        <f>1.05/1.07</f>
        <v>0.98130841121495327</v>
      </c>
      <c r="K935" s="824">
        <f>+E935*G935*I935*J935</f>
        <v>2472.6499065420562</v>
      </c>
      <c r="L935" s="825" t="s">
        <v>40</v>
      </c>
      <c r="M935"/>
      <c r="N935" s="50"/>
      <c r="O935" s="5"/>
      <c r="P935" s="9"/>
      <c r="Q935" s="34"/>
      <c r="R935" s="5"/>
    </row>
    <row r="936" spans="1:21" ht="30" customHeight="1" x14ac:dyDescent="0.35">
      <c r="A936" s="821" t="s">
        <v>479</v>
      </c>
      <c r="B936" s="1285" t="s">
        <v>3013</v>
      </c>
      <c r="C936" s="1285"/>
      <c r="D936" s="1285"/>
      <c r="E936" s="382">
        <f>34+3.2</f>
        <v>37.200000000000003</v>
      </c>
      <c r="F936" s="822" t="s">
        <v>28</v>
      </c>
      <c r="G936" s="822">
        <v>250</v>
      </c>
      <c r="H936" s="822" t="s">
        <v>613</v>
      </c>
      <c r="I936" s="822">
        <v>1.01</v>
      </c>
      <c r="J936" s="823">
        <f>1.05/1.07</f>
        <v>0.98130841121495327</v>
      </c>
      <c r="K936" s="824">
        <f>+E936*G936*I936*J936</f>
        <v>9217.4299065420564</v>
      </c>
      <c r="L936" s="825" t="s">
        <v>40</v>
      </c>
      <c r="M936"/>
      <c r="N936" s="50"/>
      <c r="O936" s="5"/>
      <c r="P936" s="9"/>
      <c r="Q936" s="34"/>
      <c r="R936" s="5"/>
      <c r="S936" s="35"/>
      <c r="U936" s="35"/>
    </row>
    <row r="937" spans="1:21" ht="30" customHeight="1" x14ac:dyDescent="0.35">
      <c r="A937" s="821">
        <v>93410</v>
      </c>
      <c r="B937" s="1285" t="s">
        <v>3014</v>
      </c>
      <c r="C937" s="1285"/>
      <c r="D937" s="1285"/>
      <c r="E937" s="382">
        <v>9.08</v>
      </c>
      <c r="F937" s="822" t="s">
        <v>4</v>
      </c>
      <c r="G937" s="822">
        <v>1600</v>
      </c>
      <c r="H937" s="822" t="s">
        <v>614</v>
      </c>
      <c r="I937" s="823">
        <v>0.93859999999999999</v>
      </c>
      <c r="J937" s="823"/>
      <c r="K937" s="824">
        <f>+E937*G937*I937</f>
        <v>13635.980799999999</v>
      </c>
      <c r="L937" s="825" t="s">
        <v>40</v>
      </c>
      <c r="M937"/>
      <c r="N937" s="50"/>
      <c r="O937" s="5"/>
      <c r="P937" s="9"/>
      <c r="Q937" s="34"/>
      <c r="R937" s="5"/>
      <c r="U937" s="35"/>
    </row>
    <row r="938" spans="1:21" ht="30" customHeight="1" x14ac:dyDescent="0.35">
      <c r="A938" s="821">
        <v>93210</v>
      </c>
      <c r="B938" s="1285" t="s">
        <v>3015</v>
      </c>
      <c r="C938" s="1285"/>
      <c r="D938" s="1285"/>
      <c r="E938" s="382">
        <v>129.37</v>
      </c>
      <c r="F938" s="822" t="s">
        <v>16</v>
      </c>
      <c r="G938" s="822">
        <v>533</v>
      </c>
      <c r="H938" s="822" t="s">
        <v>617</v>
      </c>
      <c r="I938" s="823">
        <v>0.93859999999999999</v>
      </c>
      <c r="J938" s="823"/>
      <c r="K938" s="824">
        <f>+E938*G938*I938</f>
        <v>64720.421506000006</v>
      </c>
      <c r="L938" s="825" t="s">
        <v>40</v>
      </c>
      <c r="M938"/>
      <c r="N938" s="50"/>
      <c r="O938" s="5"/>
      <c r="P938" s="9"/>
      <c r="Q938" s="34"/>
      <c r="R938" s="5"/>
      <c r="U938" s="35"/>
    </row>
    <row r="939" spans="1:21" ht="30" customHeight="1" x14ac:dyDescent="0.35">
      <c r="A939" s="821">
        <v>93220</v>
      </c>
      <c r="B939" s="1285" t="s">
        <v>3016</v>
      </c>
      <c r="C939" s="1285"/>
      <c r="D939" s="1285"/>
      <c r="E939" s="382">
        <v>922.46</v>
      </c>
      <c r="F939" s="822" t="s">
        <v>2706</v>
      </c>
      <c r="G939" s="822">
        <f>14.4*2</f>
        <v>28.8</v>
      </c>
      <c r="H939" s="822" t="s">
        <v>3017</v>
      </c>
      <c r="I939" s="823">
        <v>0.93859999999999999</v>
      </c>
      <c r="J939" s="823"/>
      <c r="K939" s="824">
        <f>+E939*G939*I939</f>
        <v>24935.643532800001</v>
      </c>
      <c r="L939" s="825" t="s">
        <v>40</v>
      </c>
      <c r="M939"/>
      <c r="N939" s="50"/>
      <c r="O939" s="5"/>
      <c r="P939" s="9"/>
      <c r="Q939" s="34"/>
      <c r="R939" s="5"/>
      <c r="U939" s="35"/>
    </row>
    <row r="940" spans="1:21" ht="30" customHeight="1" x14ac:dyDescent="0.35">
      <c r="A940" s="821" t="s">
        <v>3018</v>
      </c>
      <c r="B940" s="1285" t="s">
        <v>3019</v>
      </c>
      <c r="C940" s="1285"/>
      <c r="D940" s="1285"/>
      <c r="E940" s="382">
        <v>9.64</v>
      </c>
      <c r="F940" s="822" t="s">
        <v>108</v>
      </c>
      <c r="G940" s="822">
        <v>1800</v>
      </c>
      <c r="H940" s="822" t="s">
        <v>609</v>
      </c>
      <c r="I940" s="822">
        <v>0.98</v>
      </c>
      <c r="J940" s="823">
        <f>1.05/1.07</f>
        <v>0.98130841121495327</v>
      </c>
      <c r="K940" s="824">
        <f>+E940*G940*I940*J940</f>
        <v>16687.110280373832</v>
      </c>
      <c r="L940" s="825" t="s">
        <v>40</v>
      </c>
      <c r="M940"/>
      <c r="N940" s="50"/>
      <c r="O940" s="5"/>
      <c r="Q940" s="34"/>
      <c r="R940" s="5"/>
      <c r="S940" s="826"/>
      <c r="T940" s="826"/>
      <c r="U940" s="34"/>
    </row>
    <row r="941" spans="1:21" ht="30" customHeight="1" x14ac:dyDescent="0.35">
      <c r="A941" s="827"/>
      <c r="B941" s="1678" t="s">
        <v>3035</v>
      </c>
      <c r="C941" s="1678"/>
      <c r="D941" s="1678"/>
      <c r="E941" s="1678"/>
      <c r="F941" s="828"/>
      <c r="G941" s="828"/>
      <c r="H941" s="828"/>
      <c r="I941" s="828"/>
      <c r="J941" s="829" t="s">
        <v>251</v>
      </c>
      <c r="K941" s="824">
        <f>SUM(K932:K940)</f>
        <v>145064.8415397346</v>
      </c>
      <c r="L941" s="825" t="s">
        <v>40</v>
      </c>
      <c r="M941"/>
      <c r="N941" s="50"/>
      <c r="O941" s="5"/>
      <c r="Q941" s="34"/>
      <c r="R941" s="5"/>
      <c r="S941" s="826"/>
      <c r="T941" s="826"/>
      <c r="U941" s="34"/>
    </row>
    <row r="942" spans="1:21" ht="30" customHeight="1" thickBot="1" x14ac:dyDescent="0.4">
      <c r="A942" s="1260" t="s">
        <v>3020</v>
      </c>
      <c r="B942" s="1261"/>
      <c r="C942" s="1261"/>
      <c r="D942" s="1261"/>
      <c r="E942" s="1261"/>
      <c r="F942" s="1262"/>
      <c r="G942" s="830" t="s">
        <v>257</v>
      </c>
      <c r="H942" s="831"/>
      <c r="I942" s="831"/>
      <c r="J942" s="560">
        <f>VLOOKUP(B930,'Mil Cost Premiums for PUCs'!$A$4:$R$285,18,FALSE)</f>
        <v>1.0567349999999998</v>
      </c>
      <c r="K942" s="832">
        <f>+K941*J942</f>
        <v>153295.09532449141</v>
      </c>
      <c r="L942" s="833" t="s">
        <v>40</v>
      </c>
      <c r="M942"/>
      <c r="N942" s="50"/>
      <c r="O942" s="5"/>
      <c r="P942" s="9"/>
      <c r="Q942" s="34"/>
      <c r="R942" s="5"/>
      <c r="U942" s="35"/>
    </row>
    <row r="943" spans="1:21" ht="30" customHeight="1" thickBot="1" x14ac:dyDescent="0.4">
      <c r="A943" s="1240"/>
      <c r="B943" s="1241"/>
      <c r="C943" s="1241"/>
      <c r="D943" s="1241"/>
      <c r="E943" s="1241"/>
      <c r="F943" s="1241"/>
      <c r="G943" s="1241"/>
      <c r="H943" s="1241"/>
      <c r="I943" s="1241"/>
      <c r="J943" s="1241"/>
      <c r="K943" s="1241"/>
      <c r="L943" s="1242"/>
      <c r="M943"/>
      <c r="N943" s="50"/>
      <c r="O943" s="5"/>
      <c r="P943" s="9"/>
      <c r="Q943" s="34"/>
      <c r="R943" s="5"/>
      <c r="U943" s="35"/>
    </row>
    <row r="944" spans="1:21" ht="30" customHeight="1" x14ac:dyDescent="0.35">
      <c r="A944" s="388" t="s">
        <v>1</v>
      </c>
      <c r="B944" s="389">
        <v>1741</v>
      </c>
      <c r="C944" s="1290" t="s">
        <v>486</v>
      </c>
      <c r="D944" s="1291"/>
      <c r="E944" s="392" t="s">
        <v>3</v>
      </c>
      <c r="F944" s="393" t="s">
        <v>487</v>
      </c>
      <c r="G944" s="390" t="s">
        <v>38</v>
      </c>
      <c r="H944" s="135">
        <v>1584</v>
      </c>
      <c r="I944" s="392" t="s">
        <v>5</v>
      </c>
      <c r="J944" s="1207" t="s">
        <v>488</v>
      </c>
      <c r="K944" s="1207"/>
      <c r="L944" s="1208"/>
      <c r="M944" s="97"/>
      <c r="N944" s="50"/>
      <c r="O944" s="5"/>
      <c r="P944" s="9"/>
      <c r="Q944" s="34"/>
      <c r="R944" s="5"/>
      <c r="U944" s="35"/>
    </row>
    <row r="945" spans="1:21" ht="30" customHeight="1" x14ac:dyDescent="0.35">
      <c r="A945" s="185"/>
      <c r="B945" s="1272" t="s">
        <v>7</v>
      </c>
      <c r="C945" s="1272"/>
      <c r="D945" s="1272"/>
      <c r="E945" s="185" t="s">
        <v>52</v>
      </c>
      <c r="F945" s="185" t="s">
        <v>53</v>
      </c>
      <c r="G945" s="1219" t="s">
        <v>54</v>
      </c>
      <c r="H945" s="1220"/>
      <c r="I945" s="185" t="s">
        <v>55</v>
      </c>
      <c r="J945" s="185" t="s">
        <v>56</v>
      </c>
      <c r="K945" s="1209" t="s">
        <v>37</v>
      </c>
      <c r="L945" s="1210"/>
      <c r="M945" s="50"/>
      <c r="O945" s="5"/>
      <c r="P945" s="9"/>
      <c r="Q945" s="34"/>
      <c r="R945" s="5"/>
      <c r="U945" s="35"/>
    </row>
    <row r="946" spans="1:21" ht="30" customHeight="1" thickBot="1" x14ac:dyDescent="0.4">
      <c r="A946" s="407"/>
      <c r="B946" s="1500" t="s">
        <v>491</v>
      </c>
      <c r="C946" s="1500"/>
      <c r="D946" s="1500"/>
      <c r="E946" s="469"/>
      <c r="F946" s="188"/>
      <c r="G946" s="1332"/>
      <c r="H946" s="1333"/>
      <c r="I946" s="188"/>
      <c r="J946" s="470" t="s">
        <v>491</v>
      </c>
      <c r="K946" s="471" t="s">
        <v>491</v>
      </c>
      <c r="L946" s="188" t="s">
        <v>487</v>
      </c>
      <c r="M946" s="50"/>
      <c r="N946" s="50"/>
      <c r="O946" s="5"/>
      <c r="P946" s="9"/>
      <c r="Q946" s="34"/>
      <c r="R946" s="5"/>
      <c r="U946" s="35"/>
    </row>
    <row r="947" spans="1:21" ht="30" customHeight="1" thickBot="1" x14ac:dyDescent="0.4">
      <c r="A947" s="1199"/>
      <c r="B947" s="1200"/>
      <c r="C947" s="1200"/>
      <c r="D947" s="1200"/>
      <c r="E947" s="1200"/>
      <c r="F947" s="1200"/>
      <c r="G947" s="1200"/>
      <c r="H947" s="1200"/>
      <c r="I947" s="1200"/>
      <c r="J947" s="1200"/>
      <c r="K947" s="1200"/>
      <c r="L947" s="1201"/>
      <c r="M947" s="50"/>
      <c r="N947" s="50"/>
      <c r="O947" s="5"/>
      <c r="P947" s="9"/>
      <c r="Q947" s="34"/>
      <c r="R947" s="5"/>
      <c r="U947" s="35"/>
    </row>
    <row r="948" spans="1:21" ht="30" customHeight="1" x14ac:dyDescent="0.35">
      <c r="A948" s="388" t="s">
        <v>1</v>
      </c>
      <c r="B948" s="389">
        <v>1742</v>
      </c>
      <c r="C948" s="1290" t="s">
        <v>494</v>
      </c>
      <c r="D948" s="1291"/>
      <c r="E948" s="392" t="s">
        <v>3</v>
      </c>
      <c r="F948" s="393" t="s">
        <v>487</v>
      </c>
      <c r="G948" s="390" t="s">
        <v>38</v>
      </c>
      <c r="H948" s="135">
        <v>2969</v>
      </c>
      <c r="I948" s="392" t="s">
        <v>5</v>
      </c>
      <c r="J948" s="1207" t="s">
        <v>488</v>
      </c>
      <c r="K948" s="1207"/>
      <c r="L948" s="1208"/>
      <c r="M948" s="97"/>
      <c r="N948" s="50"/>
      <c r="O948" s="5"/>
      <c r="P948" s="9"/>
      <c r="Q948" s="34"/>
      <c r="R948" s="5"/>
      <c r="U948" s="35"/>
    </row>
    <row r="949" spans="1:21" ht="30" customHeight="1" x14ac:dyDescent="0.35">
      <c r="A949" s="185"/>
      <c r="B949" s="1272" t="s">
        <v>7</v>
      </c>
      <c r="C949" s="1272"/>
      <c r="D949" s="1272"/>
      <c r="E949" s="185" t="s">
        <v>52</v>
      </c>
      <c r="F949" s="185" t="s">
        <v>53</v>
      </c>
      <c r="G949" s="1219" t="s">
        <v>54</v>
      </c>
      <c r="H949" s="1220"/>
      <c r="I949" s="185" t="s">
        <v>55</v>
      </c>
      <c r="J949" s="185" t="s">
        <v>56</v>
      </c>
      <c r="K949" s="1209" t="s">
        <v>37</v>
      </c>
      <c r="L949" s="1210"/>
      <c r="M949" s="50"/>
      <c r="N949" s="50"/>
      <c r="O949" s="5"/>
      <c r="P949" s="9"/>
      <c r="Q949" s="34"/>
      <c r="R949" s="5"/>
      <c r="U949" s="35"/>
    </row>
    <row r="950" spans="1:21" ht="30" customHeight="1" thickBot="1" x14ac:dyDescent="0.4">
      <c r="A950" s="407"/>
      <c r="B950" s="1500" t="s">
        <v>491</v>
      </c>
      <c r="C950" s="1500"/>
      <c r="D950" s="1500"/>
      <c r="E950" s="469"/>
      <c r="F950" s="188"/>
      <c r="G950" s="1332"/>
      <c r="H950" s="1333"/>
      <c r="I950" s="188"/>
      <c r="J950" s="470" t="s">
        <v>491</v>
      </c>
      <c r="K950" s="471" t="s">
        <v>491</v>
      </c>
      <c r="L950" s="188" t="s">
        <v>487</v>
      </c>
      <c r="M950" s="50"/>
      <c r="N950" s="50"/>
      <c r="O950" s="5"/>
      <c r="P950" s="9"/>
      <c r="Q950" s="34"/>
      <c r="R950" s="5"/>
      <c r="U950" s="35"/>
    </row>
    <row r="951" spans="1:21" ht="30" customHeight="1" thickBot="1" x14ac:dyDescent="0.4">
      <c r="A951" s="1199"/>
      <c r="B951" s="1200"/>
      <c r="C951" s="1200"/>
      <c r="D951" s="1200"/>
      <c r="E951" s="1200"/>
      <c r="F951" s="1200"/>
      <c r="G951" s="1200"/>
      <c r="H951" s="1200"/>
      <c r="I951" s="1200"/>
      <c r="J951" s="1200"/>
      <c r="K951" s="1200"/>
      <c r="L951" s="1201"/>
      <c r="M951" s="50"/>
      <c r="N951" s="50"/>
      <c r="O951" s="5"/>
      <c r="P951" s="9"/>
      <c r="Q951" s="34"/>
      <c r="R951" s="5"/>
      <c r="U951" s="35"/>
    </row>
    <row r="952" spans="1:21" ht="30" customHeight="1" x14ac:dyDescent="0.35">
      <c r="A952" s="388" t="s">
        <v>1</v>
      </c>
      <c r="B952" s="389">
        <v>1743</v>
      </c>
      <c r="C952" s="1290" t="s">
        <v>498</v>
      </c>
      <c r="D952" s="1291"/>
      <c r="E952" s="392" t="s">
        <v>3</v>
      </c>
      <c r="F952" s="393" t="s">
        <v>487</v>
      </c>
      <c r="G952" s="390" t="s">
        <v>38</v>
      </c>
      <c r="H952" s="135">
        <v>6300</v>
      </c>
      <c r="I952" s="392" t="s">
        <v>5</v>
      </c>
      <c r="J952" s="1207" t="s">
        <v>488</v>
      </c>
      <c r="K952" s="1207"/>
      <c r="L952" s="1208"/>
      <c r="M952" s="97"/>
      <c r="N952" s="50"/>
      <c r="O952" s="5"/>
      <c r="P952" s="9"/>
      <c r="Q952" s="34"/>
      <c r="R952" s="5"/>
      <c r="U952" s="35"/>
    </row>
    <row r="953" spans="1:21" ht="30" customHeight="1" x14ac:dyDescent="0.35">
      <c r="A953" s="185"/>
      <c r="B953" s="1272" t="s">
        <v>7</v>
      </c>
      <c r="C953" s="1272"/>
      <c r="D953" s="1272"/>
      <c r="E953" s="185" t="s">
        <v>52</v>
      </c>
      <c r="F953" s="185" t="s">
        <v>53</v>
      </c>
      <c r="G953" s="1219" t="s">
        <v>54</v>
      </c>
      <c r="H953" s="1220"/>
      <c r="I953" s="185" t="s">
        <v>55</v>
      </c>
      <c r="J953" s="185" t="s">
        <v>56</v>
      </c>
      <c r="K953" s="1209" t="s">
        <v>37</v>
      </c>
      <c r="L953" s="1210"/>
      <c r="M953" s="50"/>
      <c r="N953" s="50"/>
      <c r="O953" s="5"/>
      <c r="P953" s="9"/>
      <c r="Q953" s="34"/>
      <c r="R953" s="5"/>
      <c r="U953" s="35"/>
    </row>
    <row r="954" spans="1:21" ht="30" customHeight="1" thickBot="1" x14ac:dyDescent="0.4">
      <c r="A954" s="407"/>
      <c r="B954" s="1500" t="s">
        <v>491</v>
      </c>
      <c r="C954" s="1500"/>
      <c r="D954" s="1500"/>
      <c r="E954" s="469"/>
      <c r="F954" s="188"/>
      <c r="G954" s="1332"/>
      <c r="H954" s="1333"/>
      <c r="I954" s="188"/>
      <c r="J954" s="470" t="s">
        <v>491</v>
      </c>
      <c r="K954" s="471" t="s">
        <v>491</v>
      </c>
      <c r="L954" s="188" t="s">
        <v>487</v>
      </c>
      <c r="M954" s="50"/>
      <c r="O954" s="5"/>
      <c r="P954" s="9"/>
      <c r="Q954" s="34"/>
      <c r="R954" s="5"/>
      <c r="U954" s="35"/>
    </row>
    <row r="955" spans="1:21" ht="30" customHeight="1" thickBot="1" x14ac:dyDescent="0.4">
      <c r="A955" s="1199"/>
      <c r="B955" s="1200"/>
      <c r="C955" s="1200"/>
      <c r="D955" s="1200"/>
      <c r="E955" s="1200"/>
      <c r="F955" s="1200"/>
      <c r="G955" s="1200"/>
      <c r="H955" s="1200"/>
      <c r="I955" s="1200"/>
      <c r="J955" s="1200"/>
      <c r="K955" s="1200"/>
      <c r="L955" s="1201"/>
      <c r="M955" s="50"/>
      <c r="N955" s="50"/>
      <c r="O955" s="5"/>
      <c r="P955" s="9"/>
      <c r="Q955" s="34"/>
      <c r="R955" s="5"/>
      <c r="U955" s="35"/>
    </row>
    <row r="956" spans="1:21" ht="30" customHeight="1" x14ac:dyDescent="0.35">
      <c r="A956" s="388" t="s">
        <v>1</v>
      </c>
      <c r="B956" s="389">
        <v>1744</v>
      </c>
      <c r="C956" s="1290" t="s">
        <v>499</v>
      </c>
      <c r="D956" s="1291"/>
      <c r="E956" s="392" t="s">
        <v>3</v>
      </c>
      <c r="F956" s="393" t="s">
        <v>487</v>
      </c>
      <c r="G956" s="390" t="s">
        <v>38</v>
      </c>
      <c r="H956" s="135">
        <v>369</v>
      </c>
      <c r="I956" s="392" t="s">
        <v>5</v>
      </c>
      <c r="J956" s="1207" t="s">
        <v>488</v>
      </c>
      <c r="K956" s="1207"/>
      <c r="L956" s="1208"/>
      <c r="M956" s="97"/>
      <c r="N956" s="50"/>
      <c r="O956" s="5"/>
      <c r="P956" s="9"/>
      <c r="Q956" s="34"/>
      <c r="R956" s="5"/>
      <c r="U956" s="35"/>
    </row>
    <row r="957" spans="1:21" ht="30" customHeight="1" x14ac:dyDescent="0.35">
      <c r="A957" s="185"/>
      <c r="B957" s="1272" t="s">
        <v>7</v>
      </c>
      <c r="C957" s="1272"/>
      <c r="D957" s="1272"/>
      <c r="E957" s="185" t="s">
        <v>52</v>
      </c>
      <c r="F957" s="185" t="s">
        <v>53</v>
      </c>
      <c r="G957" s="1219" t="s">
        <v>54</v>
      </c>
      <c r="H957" s="1220"/>
      <c r="I957" s="185" t="s">
        <v>55</v>
      </c>
      <c r="J957" s="185" t="s">
        <v>56</v>
      </c>
      <c r="K957" s="1209" t="s">
        <v>37</v>
      </c>
      <c r="L957" s="1210"/>
      <c r="M957" s="50"/>
      <c r="N957" s="50"/>
      <c r="O957" s="5"/>
      <c r="P957" s="9"/>
      <c r="Q957" s="34"/>
      <c r="R957" s="5"/>
      <c r="U957" s="35"/>
    </row>
    <row r="958" spans="1:21" ht="30" customHeight="1" thickBot="1" x14ac:dyDescent="0.4">
      <c r="A958" s="407"/>
      <c r="B958" s="1500" t="s">
        <v>491</v>
      </c>
      <c r="C958" s="1500"/>
      <c r="D958" s="1500"/>
      <c r="E958" s="469"/>
      <c r="F958" s="188"/>
      <c r="G958" s="1332"/>
      <c r="H958" s="1333"/>
      <c r="I958" s="188"/>
      <c r="J958" s="470" t="s">
        <v>491</v>
      </c>
      <c r="K958" s="471" t="s">
        <v>491</v>
      </c>
      <c r="L958" s="188" t="s">
        <v>487</v>
      </c>
      <c r="M958" s="50"/>
      <c r="N958" s="50"/>
      <c r="O958" s="5"/>
      <c r="P958" s="9"/>
      <c r="Q958" s="34"/>
      <c r="R958" s="5"/>
      <c r="U958" s="35"/>
    </row>
    <row r="959" spans="1:21" ht="30" customHeight="1" thickBot="1" x14ac:dyDescent="0.4">
      <c r="A959" s="1199"/>
      <c r="B959" s="1200"/>
      <c r="C959" s="1200"/>
      <c r="D959" s="1200"/>
      <c r="E959" s="1200"/>
      <c r="F959" s="1200"/>
      <c r="G959" s="1200"/>
      <c r="H959" s="1200"/>
      <c r="I959" s="1200"/>
      <c r="J959" s="1200"/>
      <c r="K959" s="1200"/>
      <c r="L959" s="1201"/>
      <c r="M959" s="50"/>
      <c r="N959" s="50"/>
      <c r="O959" s="5"/>
      <c r="P959" s="9"/>
      <c r="Q959" s="34"/>
      <c r="R959" s="5"/>
      <c r="U959" s="35"/>
    </row>
    <row r="960" spans="1:21" ht="30" customHeight="1" x14ac:dyDescent="0.35">
      <c r="A960" s="388" t="s">
        <v>1</v>
      </c>
      <c r="B960" s="389">
        <v>1745</v>
      </c>
      <c r="C960" s="1487" t="s">
        <v>500</v>
      </c>
      <c r="D960" s="1488"/>
      <c r="E960" s="392" t="s">
        <v>3</v>
      </c>
      <c r="F960" s="393" t="s">
        <v>487</v>
      </c>
      <c r="G960" s="390" t="s">
        <v>38</v>
      </c>
      <c r="H960" s="338">
        <v>9.1999999999999993</v>
      </c>
      <c r="I960" s="392" t="s">
        <v>5</v>
      </c>
      <c r="J960" s="1207" t="s">
        <v>2538</v>
      </c>
      <c r="K960" s="1207"/>
      <c r="L960" s="1208"/>
      <c r="M960" s="96"/>
      <c r="N960" s="50"/>
      <c r="O960" s="5"/>
      <c r="P960" s="9"/>
      <c r="Q960" s="34"/>
      <c r="R960" s="5"/>
      <c r="U960" s="35"/>
    </row>
    <row r="961" spans="1:21" ht="30" customHeight="1" x14ac:dyDescent="0.35">
      <c r="A961" s="185" t="s">
        <v>177</v>
      </c>
      <c r="B961" s="1272" t="s">
        <v>7</v>
      </c>
      <c r="C961" s="1272"/>
      <c r="D961" s="1272"/>
      <c r="E961" s="397" t="s">
        <v>52</v>
      </c>
      <c r="F961" s="566" t="s">
        <v>53</v>
      </c>
      <c r="G961" s="1292" t="s">
        <v>54</v>
      </c>
      <c r="H961" s="1293"/>
      <c r="I961" s="1221" t="s">
        <v>179</v>
      </c>
      <c r="J961" s="1222"/>
      <c r="K961" s="1209" t="s">
        <v>180</v>
      </c>
      <c r="L961" s="1210"/>
      <c r="M961" s="96"/>
      <c r="N961" s="50"/>
      <c r="O961" s="5"/>
      <c r="P961" s="9"/>
      <c r="Q961" s="34"/>
      <c r="R961" s="5"/>
      <c r="U961" s="35"/>
    </row>
    <row r="962" spans="1:21" ht="30" customHeight="1" x14ac:dyDescent="0.35">
      <c r="A962" s="186">
        <v>93220</v>
      </c>
      <c r="B962" s="1264" t="s">
        <v>2705</v>
      </c>
      <c r="C962" s="1264"/>
      <c r="D962" s="1264"/>
      <c r="E962" s="214">
        <v>24.18</v>
      </c>
      <c r="F962" s="422" t="s">
        <v>2706</v>
      </c>
      <c r="G962" s="186">
        <v>23</v>
      </c>
      <c r="H962" s="186" t="s">
        <v>2707</v>
      </c>
      <c r="I962" s="1332">
        <f>+'FY2024 MILCON Inflation Table'!F22</f>
        <v>0.95834826759383673</v>
      </c>
      <c r="J962" s="1333"/>
      <c r="K962" s="199">
        <f>+E962*G962*I962</f>
        <v>532.97580553963633</v>
      </c>
      <c r="L962" s="186" t="s">
        <v>487</v>
      </c>
      <c r="M962" s="50"/>
      <c r="N962" s="50"/>
      <c r="O962" s="5"/>
      <c r="P962" s="9"/>
      <c r="Q962" s="34"/>
      <c r="R962" s="5"/>
      <c r="U962" s="35"/>
    </row>
    <row r="963" spans="1:21" ht="30" customHeight="1" x14ac:dyDescent="0.35">
      <c r="A963" s="186">
        <v>93210</v>
      </c>
      <c r="B963" s="1212" t="s">
        <v>2708</v>
      </c>
      <c r="C963" s="1213"/>
      <c r="D963" s="1214"/>
      <c r="E963" s="733">
        <v>5.84</v>
      </c>
      <c r="F963" s="422" t="s">
        <v>4</v>
      </c>
      <c r="G963" s="834">
        <v>4840</v>
      </c>
      <c r="H963" s="708" t="s">
        <v>2709</v>
      </c>
      <c r="I963" s="1332">
        <f>+I962</f>
        <v>0.95834826759383673</v>
      </c>
      <c r="J963" s="1333"/>
      <c r="K963" s="199">
        <f>+E963*G963*I963</f>
        <v>27088.288792500349</v>
      </c>
      <c r="L963" s="422" t="s">
        <v>487</v>
      </c>
      <c r="M963" s="50"/>
      <c r="N963" s="50"/>
      <c r="O963" s="5"/>
      <c r="P963" s="9"/>
      <c r="Q963" s="34"/>
      <c r="R963" s="5"/>
      <c r="U963" s="35"/>
    </row>
    <row r="964" spans="1:21" ht="30" customHeight="1" x14ac:dyDescent="0.35">
      <c r="A964" s="186">
        <v>93220</v>
      </c>
      <c r="B964" s="1212" t="s">
        <v>2710</v>
      </c>
      <c r="C964" s="1213"/>
      <c r="D964" s="1214"/>
      <c r="E964" s="7">
        <v>91.3</v>
      </c>
      <c r="F964" s="422" t="s">
        <v>2706</v>
      </c>
      <c r="G964" s="186">
        <v>23</v>
      </c>
      <c r="H964" s="186" t="s">
        <v>2707</v>
      </c>
      <c r="I964" s="1332">
        <f>+I963</f>
        <v>0.95834826759383673</v>
      </c>
      <c r="J964" s="1333"/>
      <c r="K964" s="199">
        <f>+E964*G964*I964</f>
        <v>2012.4355271202978</v>
      </c>
      <c r="L964" s="422" t="s">
        <v>487</v>
      </c>
      <c r="M964" s="95"/>
      <c r="N964" s="50"/>
      <c r="O964" s="5"/>
      <c r="P964" s="9"/>
      <c r="Q964" s="34"/>
      <c r="R964" s="5"/>
      <c r="U964" s="35"/>
    </row>
    <row r="965" spans="1:21" ht="30" customHeight="1" x14ac:dyDescent="0.35">
      <c r="A965" s="186">
        <v>93220</v>
      </c>
      <c r="B965" s="1212" t="s">
        <v>2711</v>
      </c>
      <c r="C965" s="1213"/>
      <c r="D965" s="1214"/>
      <c r="E965" s="7">
        <v>3.99</v>
      </c>
      <c r="F965" s="422" t="s">
        <v>108</v>
      </c>
      <c r="G965" s="834">
        <v>43560</v>
      </c>
      <c r="H965" s="708" t="s">
        <v>502</v>
      </c>
      <c r="I965" s="1332">
        <f>+I964</f>
        <v>0.95834826759383673</v>
      </c>
      <c r="J965" s="1333"/>
      <c r="K965" s="199">
        <f>+E965*G965*I965</f>
        <v>166565.14564018627</v>
      </c>
      <c r="L965" s="422" t="s">
        <v>487</v>
      </c>
      <c r="N965" s="50"/>
      <c r="O965" s="5"/>
      <c r="P965" s="9"/>
      <c r="Q965" s="34"/>
      <c r="R965" s="5"/>
      <c r="U965" s="35"/>
    </row>
    <row r="966" spans="1:21" ht="30" customHeight="1" x14ac:dyDescent="0.35">
      <c r="A966" s="271">
        <v>81242</v>
      </c>
      <c r="B966" s="1212" t="s">
        <v>2712</v>
      </c>
      <c r="C966" s="1213"/>
      <c r="D966" s="1214"/>
      <c r="E966" s="7">
        <v>55.25</v>
      </c>
      <c r="F966" s="422" t="s">
        <v>28</v>
      </c>
      <c r="G966" s="834">
        <v>420</v>
      </c>
      <c r="H966" s="708" t="s">
        <v>2713</v>
      </c>
      <c r="I966" s="1332">
        <f>+I965</f>
        <v>0.95834826759383673</v>
      </c>
      <c r="J966" s="1333"/>
      <c r="K966" s="307">
        <f>+E966*G966*I966</f>
        <v>22238.471549514983</v>
      </c>
      <c r="L966" s="422" t="s">
        <v>487</v>
      </c>
      <c r="N966" s="50"/>
      <c r="O966" s="5"/>
      <c r="P966" s="9"/>
      <c r="Q966" s="34"/>
      <c r="R966" s="5"/>
      <c r="U966" s="35"/>
    </row>
    <row r="967" spans="1:21" ht="30" customHeight="1" x14ac:dyDescent="0.35">
      <c r="A967" s="503"/>
      <c r="B967" s="1211"/>
      <c r="C967" s="1211"/>
      <c r="D967" s="1211"/>
      <c r="E967" s="194"/>
      <c r="F967" s="186"/>
      <c r="G967" s="186"/>
      <c r="H967" s="186"/>
      <c r="I967" s="186"/>
      <c r="J967" s="186" t="s">
        <v>251</v>
      </c>
      <c r="K967" s="199">
        <f>SUM(K962:K966)</f>
        <v>218437.31731486152</v>
      </c>
      <c r="L967" s="422" t="s">
        <v>487</v>
      </c>
      <c r="M967" s="50"/>
      <c r="N967" s="50"/>
      <c r="O967" s="5"/>
      <c r="P967" s="9"/>
      <c r="Q967" s="34"/>
      <c r="R967" s="5"/>
      <c r="U967" s="35"/>
    </row>
    <row r="968" spans="1:21" ht="30" customHeight="1" thickBot="1" x14ac:dyDescent="0.4">
      <c r="A968" s="503"/>
      <c r="B968" s="186"/>
      <c r="C968" s="503"/>
      <c r="D968" s="503"/>
      <c r="E968" s="503"/>
      <c r="F968" s="503"/>
      <c r="G968" s="503"/>
      <c r="H968" s="503"/>
      <c r="I968" s="503"/>
      <c r="J968" s="494" t="s">
        <v>37</v>
      </c>
      <c r="K968" s="190">
        <f>+K967</f>
        <v>218437.31731486152</v>
      </c>
      <c r="L968" s="422" t="s">
        <v>487</v>
      </c>
      <c r="M968" s="50"/>
      <c r="N968" s="50"/>
      <c r="O968" s="5"/>
      <c r="P968" s="9"/>
      <c r="Q968" s="34"/>
      <c r="R968" s="5"/>
      <c r="U968" s="35"/>
    </row>
    <row r="969" spans="1:21" ht="30" customHeight="1" thickBot="1" x14ac:dyDescent="0.4">
      <c r="A969" s="1199"/>
      <c r="B969" s="1200"/>
      <c r="C969" s="1200"/>
      <c r="D969" s="1200"/>
      <c r="E969" s="1200"/>
      <c r="F969" s="1200"/>
      <c r="G969" s="1200"/>
      <c r="H969" s="1200"/>
      <c r="I969" s="1200"/>
      <c r="J969" s="1200"/>
      <c r="K969" s="1200"/>
      <c r="L969" s="1201"/>
      <c r="N969" s="95"/>
      <c r="O969" s="5"/>
      <c r="P969" s="9"/>
      <c r="Q969" s="34"/>
      <c r="R969" s="5"/>
      <c r="U969" s="35"/>
    </row>
    <row r="970" spans="1:21" ht="30" customHeight="1" x14ac:dyDescent="0.35">
      <c r="A970" s="388" t="s">
        <v>1</v>
      </c>
      <c r="B970" s="389">
        <v>1750</v>
      </c>
      <c r="C970" s="1205" t="s">
        <v>503</v>
      </c>
      <c r="D970" s="1206"/>
      <c r="E970" s="392" t="s">
        <v>3</v>
      </c>
      <c r="F970" s="393" t="s">
        <v>504</v>
      </c>
      <c r="G970" s="394" t="s">
        <v>505</v>
      </c>
      <c r="H970" s="728">
        <v>32</v>
      </c>
      <c r="I970" s="392" t="s">
        <v>5</v>
      </c>
      <c r="J970" s="1556" t="s">
        <v>3010</v>
      </c>
      <c r="K970" s="1556"/>
      <c r="L970" s="1557"/>
      <c r="M970" s="50"/>
      <c r="O970" s="5"/>
      <c r="P970" s="9"/>
      <c r="Q970" s="34"/>
      <c r="R970" s="5"/>
      <c r="U970" s="35"/>
    </row>
    <row r="971" spans="1:21" ht="30" customHeight="1" x14ac:dyDescent="0.35">
      <c r="A971" s="185" t="s">
        <v>506</v>
      </c>
      <c r="B971" s="1280" t="s">
        <v>211</v>
      </c>
      <c r="C971" s="1281"/>
      <c r="D971" s="1282"/>
      <c r="E971" s="566" t="s">
        <v>52</v>
      </c>
      <c r="F971" s="566" t="s">
        <v>53</v>
      </c>
      <c r="G971" s="1219" t="s">
        <v>54</v>
      </c>
      <c r="H971" s="1220"/>
      <c r="I971" s="632" t="s">
        <v>188</v>
      </c>
      <c r="J971" s="632" t="s">
        <v>195</v>
      </c>
      <c r="K971" s="1209" t="s">
        <v>180</v>
      </c>
      <c r="L971" s="1210"/>
      <c r="M971" s="50"/>
      <c r="N971" s="50"/>
      <c r="O971" s="5"/>
      <c r="P971" s="9"/>
      <c r="Q971" s="34"/>
      <c r="R971" s="5"/>
      <c r="U971" s="35"/>
    </row>
    <row r="972" spans="1:21" ht="30" customHeight="1" x14ac:dyDescent="0.35">
      <c r="A972" s="186" t="s">
        <v>465</v>
      </c>
      <c r="B972" s="1212" t="s">
        <v>507</v>
      </c>
      <c r="C972" s="1213"/>
      <c r="D972" s="1214"/>
      <c r="E972" s="202">
        <f>+Q910</f>
        <v>11.775</v>
      </c>
      <c r="F972" s="186" t="s">
        <v>108</v>
      </c>
      <c r="G972" s="127">
        <f>7*62</f>
        <v>434</v>
      </c>
      <c r="H972" s="714" t="s">
        <v>508</v>
      </c>
      <c r="I972" s="197">
        <f>+S910</f>
        <v>1.07</v>
      </c>
      <c r="J972" s="197">
        <f>+T910</f>
        <v>0.98130841121495327</v>
      </c>
      <c r="K972" s="194">
        <f>+E972*G972*I972*J972</f>
        <v>5365.8675000000003</v>
      </c>
      <c r="L972" s="186" t="s">
        <v>504</v>
      </c>
      <c r="M972" s="95"/>
      <c r="N972" s="50"/>
      <c r="O972" s="5"/>
      <c r="P972" s="9"/>
      <c r="Q972" s="34"/>
      <c r="R972" s="5"/>
      <c r="U972" s="35"/>
    </row>
    <row r="973" spans="1:21" ht="30" customHeight="1" x14ac:dyDescent="0.35">
      <c r="A973" s="186" t="s">
        <v>193</v>
      </c>
      <c r="B973" s="1212" t="s">
        <v>470</v>
      </c>
      <c r="C973" s="1213"/>
      <c r="D973" s="1214"/>
      <c r="E973" s="202">
        <f>+Q914</f>
        <v>665</v>
      </c>
      <c r="F973" s="127" t="s">
        <v>40</v>
      </c>
      <c r="G973" s="127">
        <v>7</v>
      </c>
      <c r="H973" s="714" t="s">
        <v>509</v>
      </c>
      <c r="I973" s="197">
        <f>+S914</f>
        <v>1.01</v>
      </c>
      <c r="J973" s="197">
        <f>+T914</f>
        <v>0.98130841121495327</v>
      </c>
      <c r="K973" s="194">
        <f>+E973*G973*I973*J973</f>
        <v>4613.6705607476633</v>
      </c>
      <c r="L973" s="186" t="s">
        <v>504</v>
      </c>
      <c r="N973" s="50"/>
      <c r="O973" s="5"/>
      <c r="P973" s="9"/>
      <c r="Q973" s="34"/>
      <c r="R973" s="5"/>
      <c r="U973" s="35"/>
    </row>
    <row r="974" spans="1:21" ht="30" customHeight="1" x14ac:dyDescent="0.35">
      <c r="A974" s="186" t="s">
        <v>193</v>
      </c>
      <c r="B974" s="1212" t="s">
        <v>475</v>
      </c>
      <c r="C974" s="1213"/>
      <c r="D974" s="1214"/>
      <c r="E974" s="202">
        <f>Q916</f>
        <v>478.5</v>
      </c>
      <c r="F974" s="127" t="s">
        <v>40</v>
      </c>
      <c r="G974" s="127">
        <v>7</v>
      </c>
      <c r="H974" s="714" t="s">
        <v>509</v>
      </c>
      <c r="I974" s="197">
        <f>+S916</f>
        <v>1.01</v>
      </c>
      <c r="J974" s="197">
        <f>+T916</f>
        <v>0.98130841121495327</v>
      </c>
      <c r="K974" s="194">
        <f>+E974*G974*I974*J974</f>
        <v>3319.7614485981308</v>
      </c>
      <c r="L974" s="186" t="s">
        <v>504</v>
      </c>
      <c r="M974" s="50"/>
      <c r="N974" s="50"/>
      <c r="O974" s="5"/>
      <c r="P974" s="9"/>
      <c r="Q974" s="34"/>
      <c r="R974" s="5"/>
      <c r="U974" s="35"/>
    </row>
    <row r="975" spans="1:21" ht="30" customHeight="1" x14ac:dyDescent="0.35">
      <c r="A975" s="186" t="s">
        <v>477</v>
      </c>
      <c r="B975" s="1212" t="s">
        <v>478</v>
      </c>
      <c r="C975" s="1213"/>
      <c r="D975" s="1214"/>
      <c r="E975" s="202">
        <f>Q918</f>
        <v>207.9</v>
      </c>
      <c r="F975" s="127" t="s">
        <v>40</v>
      </c>
      <c r="G975" s="127">
        <f>4*7</f>
        <v>28</v>
      </c>
      <c r="H975" s="714" t="s">
        <v>509</v>
      </c>
      <c r="I975" s="197">
        <f>+S918</f>
        <v>1.01</v>
      </c>
      <c r="J975" s="197">
        <f>+T918</f>
        <v>0.98130841121495327</v>
      </c>
      <c r="K975" s="194">
        <f>+E975*G975*I975*J975</f>
        <v>5769.5164485981313</v>
      </c>
      <c r="L975" s="186" t="s">
        <v>504</v>
      </c>
      <c r="M975" s="50"/>
      <c r="N975" s="50"/>
      <c r="O975" s="5"/>
      <c r="P975" s="9"/>
      <c r="Q975" s="34"/>
      <c r="R975" s="5"/>
      <c r="U975" s="35"/>
    </row>
    <row r="976" spans="1:21" ht="30" customHeight="1" x14ac:dyDescent="0.35">
      <c r="A976" s="186" t="s">
        <v>479</v>
      </c>
      <c r="B976" s="1212" t="s">
        <v>510</v>
      </c>
      <c r="C976" s="1213"/>
      <c r="D976" s="1214"/>
      <c r="E976" s="202">
        <f>Q919</f>
        <v>25.849999999999998</v>
      </c>
      <c r="F976" s="127" t="s">
        <v>28</v>
      </c>
      <c r="G976" s="788">
        <v>2653</v>
      </c>
      <c r="H976" s="714" t="s">
        <v>511</v>
      </c>
      <c r="I976" s="197">
        <f>+S919</f>
        <v>1.01</v>
      </c>
      <c r="J976" s="197">
        <f>+T919</f>
        <v>0.98130841121495327</v>
      </c>
      <c r="K976" s="194">
        <f>+E976*G976*I976*J976</f>
        <v>67971.161705607461</v>
      </c>
      <c r="L976" s="186" t="s">
        <v>504</v>
      </c>
      <c r="M976" s="50"/>
      <c r="N976" s="50"/>
      <c r="O976" s="5"/>
      <c r="P976" s="9"/>
      <c r="Q976" s="34"/>
      <c r="R976" s="5"/>
      <c r="U976" s="35"/>
    </row>
    <row r="977" spans="1:21" ht="30" customHeight="1" x14ac:dyDescent="0.35">
      <c r="A977" s="186" t="s">
        <v>221</v>
      </c>
      <c r="B977" s="1212" t="s">
        <v>512</v>
      </c>
      <c r="C977" s="1213"/>
      <c r="D977" s="1214"/>
      <c r="E977" s="202">
        <f>+Q923</f>
        <v>558</v>
      </c>
      <c r="F977" s="127" t="s">
        <v>40</v>
      </c>
      <c r="G977" s="127"/>
      <c r="H977" s="714"/>
      <c r="I977" s="197">
        <f>S923</f>
        <v>1.1000000000000001</v>
      </c>
      <c r="J977" s="197">
        <f>+T923</f>
        <v>0.98130841121495327</v>
      </c>
      <c r="K977" s="194">
        <f>+E977*J977*I977</f>
        <v>602.3271028037384</v>
      </c>
      <c r="L977" s="186" t="s">
        <v>504</v>
      </c>
      <c r="M977" s="50"/>
      <c r="N977" s="50"/>
      <c r="O977" s="5"/>
      <c r="P977" s="9"/>
      <c r="Q977" s="34"/>
      <c r="R977" s="5"/>
      <c r="U977" s="35"/>
    </row>
    <row r="978" spans="1:21" ht="30" customHeight="1" x14ac:dyDescent="0.35">
      <c r="A978" s="186">
        <v>93410</v>
      </c>
      <c r="B978" s="1212" t="s">
        <v>513</v>
      </c>
      <c r="C978" s="1213"/>
      <c r="D978" s="1214"/>
      <c r="E978" s="202">
        <f>+Q928</f>
        <v>11.54</v>
      </c>
      <c r="F978" s="127" t="s">
        <v>16</v>
      </c>
      <c r="G978" s="715">
        <v>213.375</v>
      </c>
      <c r="H978" s="714" t="s">
        <v>514</v>
      </c>
      <c r="I978" s="224">
        <f>+S928</f>
        <v>0.93863689284411045</v>
      </c>
      <c r="J978" s="197"/>
      <c r="K978" s="194">
        <f>+E978*G978*I978</f>
        <v>2311.2502065024632</v>
      </c>
      <c r="L978" s="186" t="s">
        <v>504</v>
      </c>
      <c r="M978" s="50"/>
      <c r="N978" s="50"/>
      <c r="O978" s="5"/>
      <c r="P978" s="9"/>
      <c r="Q978" s="34"/>
      <c r="R978" s="5"/>
      <c r="U978" s="35"/>
    </row>
    <row r="979" spans="1:21" ht="30" customHeight="1" x14ac:dyDescent="0.35">
      <c r="A979" s="186">
        <v>93210</v>
      </c>
      <c r="B979" s="1212" t="s">
        <v>515</v>
      </c>
      <c r="C979" s="1213"/>
      <c r="D979" s="1214"/>
      <c r="E979" s="202">
        <f>Q930</f>
        <v>149.81</v>
      </c>
      <c r="F979" s="127" t="s">
        <v>16</v>
      </c>
      <c r="G979" s="715">
        <v>12.78125</v>
      </c>
      <c r="H979" s="714" t="s">
        <v>514</v>
      </c>
      <c r="I979" s="224">
        <f>+S930</f>
        <v>0.93863689284411045</v>
      </c>
      <c r="J979" s="197"/>
      <c r="K979" s="194">
        <f>+E979*G979*I979</f>
        <v>1797.2634969701019</v>
      </c>
      <c r="L979" s="186" t="s">
        <v>504</v>
      </c>
      <c r="M979" s="50"/>
      <c r="N979" s="50"/>
      <c r="O979" s="5"/>
      <c r="P979" s="9"/>
      <c r="Q979" s="34"/>
      <c r="R979" s="5"/>
      <c r="U979" s="35"/>
    </row>
    <row r="980" spans="1:21" ht="30" customHeight="1" x14ac:dyDescent="0.35">
      <c r="A980" s="186"/>
      <c r="B980" s="1264"/>
      <c r="C980" s="1264"/>
      <c r="D980" s="1264"/>
      <c r="E980" s="205"/>
      <c r="F980" s="186"/>
      <c r="G980" s="672"/>
      <c r="H980" s="534"/>
      <c r="I980" s="186"/>
      <c r="J980" s="186" t="s">
        <v>251</v>
      </c>
      <c r="K980" s="194">
        <f>SUM(K972:K979)</f>
        <v>91750.818469827689</v>
      </c>
      <c r="L980" s="186" t="s">
        <v>504</v>
      </c>
      <c r="M980" s="50"/>
      <c r="N980" s="50"/>
      <c r="O980" s="5"/>
      <c r="P980" s="9"/>
      <c r="Q980" s="34"/>
      <c r="R980" s="5"/>
      <c r="U980" s="35"/>
    </row>
    <row r="981" spans="1:21" ht="30" customHeight="1" x14ac:dyDescent="0.35">
      <c r="A981" s="1511" t="s">
        <v>3028</v>
      </c>
      <c r="B981" s="1521"/>
      <c r="C981" s="1521"/>
      <c r="D981" s="1237"/>
      <c r="E981" s="503"/>
      <c r="F981" s="503"/>
      <c r="G981" s="503"/>
      <c r="H981" s="503"/>
      <c r="I981" s="503"/>
      <c r="J981" s="186" t="s">
        <v>37</v>
      </c>
      <c r="K981" s="193">
        <f>+K980</f>
        <v>91750.818469827689</v>
      </c>
      <c r="L981" s="186" t="s">
        <v>504</v>
      </c>
      <c r="M981" s="50"/>
      <c r="N981" s="50"/>
      <c r="O981" s="5"/>
      <c r="P981" s="9"/>
      <c r="Q981" s="34"/>
      <c r="R981" s="5"/>
      <c r="U981" s="35"/>
    </row>
    <row r="982" spans="1:21" ht="30" customHeight="1" thickBot="1" x14ac:dyDescent="0.4">
      <c r="A982" s="1522"/>
      <c r="B982" s="1523"/>
      <c r="C982" s="1523"/>
      <c r="D982" s="1524"/>
      <c r="E982" s="503"/>
      <c r="F982" s="503"/>
      <c r="G982" s="1366" t="s">
        <v>257</v>
      </c>
      <c r="H982" s="1367"/>
      <c r="I982" s="1368"/>
      <c r="J982" s="560">
        <f>VLOOKUP(B970,'Mil Cost Premiums for PUCs'!$A$4:$R$285,18,FALSE)</f>
        <v>1.0485669999999998</v>
      </c>
      <c r="K982" s="193">
        <f>+K981*J982</f>
        <v>96206.880470451797</v>
      </c>
      <c r="L982" s="186" t="s">
        <v>504</v>
      </c>
      <c r="M982" s="50"/>
      <c r="O982" s="5"/>
      <c r="P982" s="9"/>
      <c r="Q982" s="34"/>
      <c r="R982" s="5"/>
      <c r="U982" s="35"/>
    </row>
    <row r="983" spans="1:21" ht="30" customHeight="1" thickBot="1" x14ac:dyDescent="0.4">
      <c r="A983" s="1199"/>
      <c r="B983" s="1200"/>
      <c r="C983" s="1200"/>
      <c r="D983" s="1200"/>
      <c r="E983" s="1200"/>
      <c r="F983" s="1200"/>
      <c r="G983" s="1200"/>
      <c r="H983" s="1200"/>
      <c r="I983" s="1200"/>
      <c r="J983" s="1200"/>
      <c r="K983" s="1200"/>
      <c r="L983" s="1201"/>
      <c r="M983" s="50"/>
      <c r="N983" s="50"/>
      <c r="O983" s="5"/>
      <c r="P983" s="9"/>
      <c r="Q983" s="34"/>
      <c r="R983" s="5"/>
      <c r="U983" s="35"/>
    </row>
    <row r="984" spans="1:21" ht="30" customHeight="1" x14ac:dyDescent="0.35">
      <c r="A984" s="388" t="s">
        <v>1</v>
      </c>
      <c r="B984" s="389">
        <v>1751</v>
      </c>
      <c r="C984" s="1205" t="s">
        <v>516</v>
      </c>
      <c r="D984" s="1206"/>
      <c r="E984" s="392" t="s">
        <v>3</v>
      </c>
      <c r="F984" s="393" t="s">
        <v>504</v>
      </c>
      <c r="G984" s="394" t="s">
        <v>505</v>
      </c>
      <c r="H984" s="728">
        <v>32</v>
      </c>
      <c r="I984" s="392" t="s">
        <v>5</v>
      </c>
      <c r="J984" s="1556" t="s">
        <v>3010</v>
      </c>
      <c r="K984" s="1556"/>
      <c r="L984" s="1557"/>
      <c r="M984" s="50"/>
      <c r="N984" s="50"/>
      <c r="O984" s="5"/>
      <c r="P984" s="9"/>
      <c r="Q984" s="34"/>
      <c r="R984" s="5"/>
      <c r="U984" s="35"/>
    </row>
    <row r="985" spans="1:21" ht="30" customHeight="1" x14ac:dyDescent="0.35">
      <c r="A985" s="185" t="s">
        <v>506</v>
      </c>
      <c r="B985" s="1280" t="s">
        <v>211</v>
      </c>
      <c r="C985" s="1281"/>
      <c r="D985" s="1282"/>
      <c r="E985" s="566" t="s">
        <v>52</v>
      </c>
      <c r="F985" s="566" t="s">
        <v>53</v>
      </c>
      <c r="G985" s="1219" t="s">
        <v>54</v>
      </c>
      <c r="H985" s="1220"/>
      <c r="I985" s="632" t="s">
        <v>188</v>
      </c>
      <c r="J985" s="632" t="s">
        <v>195</v>
      </c>
      <c r="K985" s="1209" t="s">
        <v>180</v>
      </c>
      <c r="L985" s="1210"/>
      <c r="M985" s="50"/>
      <c r="N985" s="50"/>
      <c r="O985" s="5"/>
      <c r="P985" s="9"/>
      <c r="Q985" s="34"/>
      <c r="R985" s="5"/>
      <c r="U985" s="35"/>
    </row>
    <row r="986" spans="1:21" ht="30" customHeight="1" x14ac:dyDescent="0.35">
      <c r="A986" s="186" t="s">
        <v>221</v>
      </c>
      <c r="B986" s="1264" t="s">
        <v>484</v>
      </c>
      <c r="C986" s="1264"/>
      <c r="D986" s="1264"/>
      <c r="E986" s="202">
        <f>+Q923</f>
        <v>558</v>
      </c>
      <c r="F986" s="127" t="s">
        <v>40</v>
      </c>
      <c r="G986" s="127"/>
      <c r="H986" s="714"/>
      <c r="I986" s="197">
        <f>+S909</f>
        <v>1.1000000000000001</v>
      </c>
      <c r="J986" s="197">
        <f>+T909</f>
        <v>0.98130841121495327</v>
      </c>
      <c r="K986" s="194">
        <f>+E986*J986*I986</f>
        <v>602.3271028037384</v>
      </c>
      <c r="L986" s="186" t="s">
        <v>504</v>
      </c>
      <c r="N986" s="50"/>
      <c r="O986" s="5"/>
      <c r="P986" s="9"/>
      <c r="Q986" s="34"/>
      <c r="R986" s="5"/>
      <c r="U986" s="35"/>
    </row>
    <row r="987" spans="1:21" ht="30" customHeight="1" x14ac:dyDescent="0.35">
      <c r="A987" s="186" t="s">
        <v>345</v>
      </c>
      <c r="B987" s="1264" t="s">
        <v>485</v>
      </c>
      <c r="C987" s="1264"/>
      <c r="D987" s="1264"/>
      <c r="E987" s="201">
        <f>+Q924</f>
        <v>27</v>
      </c>
      <c r="F987" s="127" t="s">
        <v>40</v>
      </c>
      <c r="G987" s="127">
        <v>4</v>
      </c>
      <c r="H987" s="714" t="s">
        <v>517</v>
      </c>
      <c r="I987" s="197">
        <f>+S924</f>
        <v>0.95</v>
      </c>
      <c r="J987" s="197">
        <f>+T924</f>
        <v>0.98130841121495327</v>
      </c>
      <c r="K987" s="194">
        <f>+E987*G987*I987*J987</f>
        <v>100.6822429906542</v>
      </c>
      <c r="L987" s="186" t="s">
        <v>504</v>
      </c>
      <c r="M987" s="50"/>
      <c r="N987" s="50"/>
      <c r="O987" s="5"/>
      <c r="P987" s="9"/>
      <c r="Q987" s="34"/>
      <c r="R987" s="5"/>
      <c r="U987" s="35"/>
    </row>
    <row r="988" spans="1:21" ht="30" customHeight="1" x14ac:dyDescent="0.35">
      <c r="A988" s="186" t="s">
        <v>479</v>
      </c>
      <c r="B988" s="1264" t="s">
        <v>480</v>
      </c>
      <c r="C988" s="1264"/>
      <c r="D988" s="1264"/>
      <c r="E988" s="202">
        <f>+Q919</f>
        <v>25.849999999999998</v>
      </c>
      <c r="F988" s="127" t="s">
        <v>28</v>
      </c>
      <c r="G988" s="127">
        <v>224</v>
      </c>
      <c r="H988" s="714" t="s">
        <v>511</v>
      </c>
      <c r="I988" s="197">
        <f>+S919</f>
        <v>1.01</v>
      </c>
      <c r="J988" s="197">
        <f>+T919</f>
        <v>0.98130841121495327</v>
      </c>
      <c r="K988" s="194">
        <f>+E988*G988*I988*J988</f>
        <v>5738.9899065420559</v>
      </c>
      <c r="L988" s="186" t="s">
        <v>504</v>
      </c>
      <c r="M988" s="50"/>
      <c r="N988" s="50"/>
      <c r="O988" s="5"/>
      <c r="P988" s="9"/>
      <c r="Q988" s="34"/>
      <c r="R988" s="5"/>
      <c r="U988" s="35"/>
    </row>
    <row r="989" spans="1:21" ht="30" customHeight="1" x14ac:dyDescent="0.35">
      <c r="A989" s="186">
        <v>93410</v>
      </c>
      <c r="B989" s="1264" t="s">
        <v>518</v>
      </c>
      <c r="C989" s="1264"/>
      <c r="D989" s="1264"/>
      <c r="E989" s="202">
        <f>+Q928</f>
        <v>11.54</v>
      </c>
      <c r="F989" s="127" t="s">
        <v>16</v>
      </c>
      <c r="G989" s="715">
        <v>60.5</v>
      </c>
      <c r="H989" s="714" t="s">
        <v>514</v>
      </c>
      <c r="I989" s="224">
        <f>+S928</f>
        <v>0.93863689284411045</v>
      </c>
      <c r="J989" s="186"/>
      <c r="K989" s="194">
        <f>+E989*G989*I989</f>
        <v>655.32811947697257</v>
      </c>
      <c r="L989" s="186" t="s">
        <v>504</v>
      </c>
      <c r="M989" s="50"/>
      <c r="N989" s="50"/>
      <c r="O989" s="5"/>
      <c r="P989" s="9"/>
      <c r="Q989" s="34"/>
      <c r="R989" s="5"/>
      <c r="U989" s="35"/>
    </row>
    <row r="990" spans="1:21" ht="30" customHeight="1" x14ac:dyDescent="0.35">
      <c r="A990" s="186">
        <v>93210</v>
      </c>
      <c r="B990" s="1264" t="s">
        <v>519</v>
      </c>
      <c r="C990" s="1264"/>
      <c r="D990" s="1264"/>
      <c r="E990" s="202">
        <f>Q930</f>
        <v>149.81</v>
      </c>
      <c r="F990" s="127" t="s">
        <v>16</v>
      </c>
      <c r="G990" s="715">
        <v>12.09375</v>
      </c>
      <c r="H990" s="714" t="s">
        <v>514</v>
      </c>
      <c r="I990" s="224">
        <f>+S930</f>
        <v>0.93863689284411045</v>
      </c>
      <c r="J990" s="186"/>
      <c r="K990" s="194">
        <f>+E990*G990*I990</f>
        <v>1700.5891768396807</v>
      </c>
      <c r="L990" s="186" t="s">
        <v>504</v>
      </c>
      <c r="M990" s="50"/>
      <c r="N990" s="50"/>
      <c r="O990" s="5"/>
      <c r="P990" s="9"/>
      <c r="Q990" s="34"/>
      <c r="R990" s="5"/>
      <c r="U990" s="35"/>
    </row>
    <row r="991" spans="1:21" ht="30" customHeight="1" x14ac:dyDescent="0.35">
      <c r="A991" s="1511" t="s">
        <v>3028</v>
      </c>
      <c r="B991" s="1521"/>
      <c r="C991" s="1521"/>
      <c r="D991" s="1237"/>
      <c r="E991" s="194"/>
      <c r="F991" s="186"/>
      <c r="G991" s="503"/>
      <c r="H991" s="534"/>
      <c r="I991" s="835"/>
      <c r="J991" s="186" t="s">
        <v>251</v>
      </c>
      <c r="K991" s="194">
        <f>SUM(K986:K990)</f>
        <v>8797.9165486531019</v>
      </c>
      <c r="L991" s="186" t="s">
        <v>504</v>
      </c>
      <c r="M991" s="50"/>
      <c r="N991" s="50"/>
      <c r="O991" s="5"/>
      <c r="P991" s="9"/>
      <c r="Q991" s="34"/>
      <c r="R991" s="5"/>
      <c r="U991" s="35"/>
    </row>
    <row r="992" spans="1:21" ht="30" customHeight="1" thickBot="1" x14ac:dyDescent="0.4">
      <c r="A992" s="1522"/>
      <c r="B992" s="1523"/>
      <c r="C992" s="1523"/>
      <c r="D992" s="1524"/>
      <c r="E992" s="503"/>
      <c r="F992" s="503"/>
      <c r="G992" s="1366" t="s">
        <v>257</v>
      </c>
      <c r="H992" s="1367"/>
      <c r="I992" s="1368"/>
      <c r="J992" s="560">
        <f>VLOOKUP(B984,'Mil Cost Premiums for PUCs'!$A$4:$R$285,18,FALSE)</f>
        <v>1.0485669999999998</v>
      </c>
      <c r="K992" s="193">
        <f>+K991*J992</f>
        <v>9225.2049616715358</v>
      </c>
      <c r="L992" s="186" t="s">
        <v>504</v>
      </c>
      <c r="M992" s="50"/>
      <c r="N992" s="50"/>
      <c r="O992" s="5"/>
      <c r="P992" s="9"/>
      <c r="Q992" s="34"/>
      <c r="R992" s="5"/>
      <c r="U992" s="35"/>
    </row>
    <row r="993" spans="1:23" ht="30" customHeight="1" thickBot="1" x14ac:dyDescent="0.4">
      <c r="A993" s="1199"/>
      <c r="B993" s="1200"/>
      <c r="C993" s="1200"/>
      <c r="D993" s="1200"/>
      <c r="E993" s="1200"/>
      <c r="F993" s="1200"/>
      <c r="G993" s="1200"/>
      <c r="H993" s="1200"/>
      <c r="I993" s="1200"/>
      <c r="J993" s="1200"/>
      <c r="K993" s="1200"/>
      <c r="L993" s="1201"/>
      <c r="M993" s="50"/>
      <c r="N993" s="50"/>
      <c r="O993" s="5"/>
      <c r="P993" s="9"/>
      <c r="Q993" s="34"/>
      <c r="R993" s="5"/>
      <c r="U993" s="35"/>
    </row>
    <row r="994" spans="1:23" ht="30" customHeight="1" x14ac:dyDescent="0.35">
      <c r="A994" s="388" t="s">
        <v>1</v>
      </c>
      <c r="B994" s="389">
        <v>1752</v>
      </c>
      <c r="C994" s="1205" t="s">
        <v>520</v>
      </c>
      <c r="D994" s="1206"/>
      <c r="E994" s="392" t="s">
        <v>3</v>
      </c>
      <c r="F994" s="393" t="s">
        <v>504</v>
      </c>
      <c r="G994" s="394" t="s">
        <v>521</v>
      </c>
      <c r="H994" s="728">
        <v>32</v>
      </c>
      <c r="I994" s="392" t="s">
        <v>5</v>
      </c>
      <c r="J994" s="1556" t="s">
        <v>3010</v>
      </c>
      <c r="K994" s="1556"/>
      <c r="L994" s="1557"/>
      <c r="M994" s="50"/>
      <c r="N994" s="50"/>
      <c r="O994" s="5"/>
      <c r="P994" s="9"/>
      <c r="Q994" s="34"/>
      <c r="R994" s="5"/>
      <c r="U994" s="35"/>
    </row>
    <row r="995" spans="1:23" ht="30" customHeight="1" x14ac:dyDescent="0.35">
      <c r="A995" s="185" t="s">
        <v>506</v>
      </c>
      <c r="B995" s="1280" t="s">
        <v>211</v>
      </c>
      <c r="C995" s="1281"/>
      <c r="D995" s="1282"/>
      <c r="E995" s="566" t="s">
        <v>52</v>
      </c>
      <c r="F995" s="566" t="s">
        <v>53</v>
      </c>
      <c r="G995" s="1219" t="s">
        <v>54</v>
      </c>
      <c r="H995" s="1220"/>
      <c r="I995" s="185" t="s">
        <v>188</v>
      </c>
      <c r="J995" s="632" t="s">
        <v>195</v>
      </c>
      <c r="K995" s="1209" t="s">
        <v>180</v>
      </c>
      <c r="L995" s="1210"/>
      <c r="M995" s="50"/>
      <c r="N995" s="50"/>
      <c r="O995" s="5"/>
      <c r="P995" s="9"/>
      <c r="Q995" s="34"/>
      <c r="R995" s="5"/>
      <c r="U995" s="35"/>
    </row>
    <row r="996" spans="1:23" ht="30" customHeight="1" x14ac:dyDescent="0.35">
      <c r="A996" s="186" t="s">
        <v>465</v>
      </c>
      <c r="B996" s="1212" t="s">
        <v>522</v>
      </c>
      <c r="C996" s="1213"/>
      <c r="D996" s="1214"/>
      <c r="E996" s="202">
        <f>+Q910</f>
        <v>11.775</v>
      </c>
      <c r="F996" s="186" t="s">
        <v>108</v>
      </c>
      <c r="G996" s="127">
        <f>3*62</f>
        <v>186</v>
      </c>
      <c r="H996" s="714" t="s">
        <v>508</v>
      </c>
      <c r="I996" s="204">
        <f>+S910</f>
        <v>1.07</v>
      </c>
      <c r="J996" s="204">
        <f>+T910</f>
        <v>0.98130841121495327</v>
      </c>
      <c r="K996" s="194">
        <f>+E996*G996*I996*J996</f>
        <v>2299.6575000000003</v>
      </c>
      <c r="L996" s="186" t="s">
        <v>504</v>
      </c>
      <c r="M996" s="50"/>
      <c r="N996" s="50"/>
      <c r="O996" s="5"/>
      <c r="P996" s="9"/>
      <c r="Q996" s="34"/>
      <c r="R996" s="5"/>
      <c r="U996" s="35"/>
    </row>
    <row r="997" spans="1:23" ht="30" customHeight="1" x14ac:dyDescent="0.35">
      <c r="A997" s="186" t="s">
        <v>193</v>
      </c>
      <c r="B997" s="1212" t="s">
        <v>470</v>
      </c>
      <c r="C997" s="1213"/>
      <c r="D997" s="1214"/>
      <c r="E997" s="202">
        <f>+Q914</f>
        <v>665</v>
      </c>
      <c r="F997" s="127" t="s">
        <v>40</v>
      </c>
      <c r="G997" s="127">
        <v>3</v>
      </c>
      <c r="H997" s="714" t="s">
        <v>509</v>
      </c>
      <c r="I997" s="204">
        <f>+S914</f>
        <v>1.01</v>
      </c>
      <c r="J997" s="204">
        <f>+T914</f>
        <v>0.98130841121495327</v>
      </c>
      <c r="K997" s="194">
        <f>+E997*G997*I997*J997</f>
        <v>1977.2873831775701</v>
      </c>
      <c r="L997" s="186" t="s">
        <v>504</v>
      </c>
      <c r="M997" s="50"/>
      <c r="N997" s="50"/>
      <c r="O997" s="5"/>
      <c r="P997" s="9"/>
      <c r="Q997" s="34"/>
      <c r="R997" s="5"/>
      <c r="U997" s="35"/>
    </row>
    <row r="998" spans="1:23" ht="30" customHeight="1" x14ac:dyDescent="0.35">
      <c r="A998" s="186" t="s">
        <v>193</v>
      </c>
      <c r="B998" s="1212" t="s">
        <v>475</v>
      </c>
      <c r="C998" s="1213"/>
      <c r="D998" s="1214"/>
      <c r="E998" s="202">
        <f>+Q916</f>
        <v>478.5</v>
      </c>
      <c r="F998" s="127" t="s">
        <v>40</v>
      </c>
      <c r="G998" s="127">
        <v>3</v>
      </c>
      <c r="H998" s="714" t="s">
        <v>509</v>
      </c>
      <c r="I998" s="204">
        <f>+S916</f>
        <v>1.01</v>
      </c>
      <c r="J998" s="204">
        <f>+T916</f>
        <v>0.98130841121495327</v>
      </c>
      <c r="K998" s="194">
        <f>+E998*G998*I998*J998</f>
        <v>1422.754906542056</v>
      </c>
      <c r="L998" s="186" t="s">
        <v>504</v>
      </c>
      <c r="M998" s="95"/>
      <c r="N998" s="50"/>
      <c r="O998" s="5"/>
      <c r="P998" s="9"/>
      <c r="Q998" s="34"/>
      <c r="R998" s="5"/>
      <c r="U998" s="35"/>
    </row>
    <row r="999" spans="1:23" ht="30" customHeight="1" x14ac:dyDescent="0.35">
      <c r="A999" s="186" t="s">
        <v>477</v>
      </c>
      <c r="B999" s="1212" t="s">
        <v>478</v>
      </c>
      <c r="C999" s="1213"/>
      <c r="D999" s="1214"/>
      <c r="E999" s="202">
        <f>+Q918</f>
        <v>207.9</v>
      </c>
      <c r="F999" s="127" t="s">
        <v>40</v>
      </c>
      <c r="G999" s="127">
        <v>12</v>
      </c>
      <c r="H999" s="714" t="s">
        <v>509</v>
      </c>
      <c r="I999" s="204">
        <f>+S918</f>
        <v>1.01</v>
      </c>
      <c r="J999" s="204">
        <f>+T918</f>
        <v>0.98130841121495327</v>
      </c>
      <c r="K999" s="194">
        <f>+E999*G999*I999*J999</f>
        <v>2472.6499065420562</v>
      </c>
      <c r="L999" s="186" t="s">
        <v>504</v>
      </c>
      <c r="N999" s="50"/>
      <c r="O999" s="5"/>
      <c r="P999" s="9"/>
      <c r="Q999" s="34"/>
      <c r="R999" s="5"/>
      <c r="U999" s="35"/>
    </row>
    <row r="1000" spans="1:23" ht="30" customHeight="1" x14ac:dyDescent="0.35">
      <c r="A1000" s="186" t="s">
        <v>479</v>
      </c>
      <c r="B1000" s="1212" t="s">
        <v>510</v>
      </c>
      <c r="C1000" s="1213"/>
      <c r="D1000" s="1214"/>
      <c r="E1000" s="202">
        <f>+Q919</f>
        <v>25.849999999999998</v>
      </c>
      <c r="F1000" s="127" t="s">
        <v>28</v>
      </c>
      <c r="G1000" s="788">
        <v>2653</v>
      </c>
      <c r="H1000" s="714" t="s">
        <v>511</v>
      </c>
      <c r="I1000" s="204">
        <f>+S919</f>
        <v>1.01</v>
      </c>
      <c r="J1000" s="204">
        <f>+T919</f>
        <v>0.98130841121495327</v>
      </c>
      <c r="K1000" s="194">
        <f>+E1000*G1000*I1000*J1000</f>
        <v>67971.161705607461</v>
      </c>
      <c r="L1000" s="186" t="s">
        <v>504</v>
      </c>
      <c r="M1000" s="50"/>
      <c r="N1000" s="100"/>
      <c r="O1000" s="5"/>
      <c r="P1000" s="9"/>
      <c r="Q1000" s="34"/>
      <c r="R1000" s="5"/>
      <c r="U1000" s="35"/>
    </row>
    <row r="1001" spans="1:23" s="837" customFormat="1" ht="30" customHeight="1" x14ac:dyDescent="0.35">
      <c r="A1001" s="186" t="s">
        <v>221</v>
      </c>
      <c r="B1001" s="1212" t="s">
        <v>484</v>
      </c>
      <c r="C1001" s="1213"/>
      <c r="D1001" s="1214"/>
      <c r="E1001" s="202">
        <f>+Q923</f>
        <v>558</v>
      </c>
      <c r="F1001" s="127" t="s">
        <v>40</v>
      </c>
      <c r="G1001" s="127"/>
      <c r="H1001" s="714"/>
      <c r="I1001" s="204">
        <f>+S909</f>
        <v>1.1000000000000001</v>
      </c>
      <c r="J1001" s="204">
        <f>+T909</f>
        <v>0.98130841121495327</v>
      </c>
      <c r="K1001" s="194">
        <f>+E1001*J1001*I1001</f>
        <v>602.3271028037384</v>
      </c>
      <c r="L1001" s="186" t="s">
        <v>504</v>
      </c>
      <c r="M1001" s="50"/>
      <c r="O1001" s="5"/>
      <c r="P1001" s="9"/>
      <c r="Q1001" s="34"/>
      <c r="R1001" s="5"/>
      <c r="S1001" s="9"/>
      <c r="T1001" s="9"/>
      <c r="U1001" s="35"/>
      <c r="V1001" s="9"/>
      <c r="W1001" s="9"/>
    </row>
    <row r="1002" spans="1:23" ht="30" customHeight="1" x14ac:dyDescent="0.35">
      <c r="A1002" s="186">
        <v>93410</v>
      </c>
      <c r="B1002" s="1212" t="s">
        <v>523</v>
      </c>
      <c r="C1002" s="1213"/>
      <c r="D1002" s="1214"/>
      <c r="E1002" s="202">
        <f>+Q928</f>
        <v>11.54</v>
      </c>
      <c r="F1002" s="127" t="s">
        <v>16</v>
      </c>
      <c r="G1002" s="715">
        <v>277.9375</v>
      </c>
      <c r="H1002" s="714" t="s">
        <v>514</v>
      </c>
      <c r="I1002" s="224">
        <f>+S928</f>
        <v>0.93863689284411045</v>
      </c>
      <c r="J1002" s="186"/>
      <c r="K1002" s="194">
        <f>+E1002*G1002*I1002</f>
        <v>3010.5827968120839</v>
      </c>
      <c r="L1002" s="186" t="s">
        <v>504</v>
      </c>
      <c r="M1002" s="50"/>
      <c r="N1002" s="50"/>
      <c r="O1002" s="5"/>
      <c r="P1002" s="9"/>
      <c r="Q1002" s="34"/>
      <c r="R1002" s="5"/>
      <c r="U1002" s="35"/>
    </row>
    <row r="1003" spans="1:23" ht="30" customHeight="1" x14ac:dyDescent="0.35">
      <c r="A1003" s="186">
        <v>93210</v>
      </c>
      <c r="B1003" s="1212" t="s">
        <v>524</v>
      </c>
      <c r="C1003" s="1213"/>
      <c r="D1003" s="1214"/>
      <c r="E1003" s="202">
        <f>+Q930</f>
        <v>149.81</v>
      </c>
      <c r="F1003" s="127" t="s">
        <v>16</v>
      </c>
      <c r="G1003" s="715">
        <v>32.625</v>
      </c>
      <c r="H1003" s="714" t="s">
        <v>514</v>
      </c>
      <c r="I1003" s="224">
        <f>+S930</f>
        <v>0.93863689284411045</v>
      </c>
      <c r="J1003" s="186"/>
      <c r="K1003" s="194">
        <f>+E1003*G1003*I1003</f>
        <v>4587.6359189163486</v>
      </c>
      <c r="L1003" s="186" t="s">
        <v>504</v>
      </c>
      <c r="M1003" s="50"/>
      <c r="N1003" s="50"/>
      <c r="O1003" s="5"/>
      <c r="P1003" s="9"/>
      <c r="Q1003" s="34"/>
      <c r="R1003" s="5"/>
      <c r="U1003" s="35"/>
    </row>
    <row r="1004" spans="1:23" ht="30" customHeight="1" x14ac:dyDescent="0.35">
      <c r="A1004" s="1511" t="s">
        <v>3028</v>
      </c>
      <c r="B1004" s="1521"/>
      <c r="C1004" s="1521"/>
      <c r="D1004" s="1237"/>
      <c r="E1004" s="194"/>
      <c r="F1004" s="186"/>
      <c r="G1004" s="503"/>
      <c r="H1004" s="534"/>
      <c r="I1004" s="186"/>
      <c r="J1004" s="186" t="s">
        <v>251</v>
      </c>
      <c r="K1004" s="194">
        <f>SUM(K996:K1003)</f>
        <v>84344.057220401315</v>
      </c>
      <c r="L1004" s="186" t="s">
        <v>504</v>
      </c>
      <c r="M1004" s="50"/>
      <c r="N1004" s="50"/>
      <c r="O1004" s="5"/>
      <c r="P1004" s="9"/>
      <c r="Q1004" s="34"/>
      <c r="R1004" s="5"/>
      <c r="U1004" s="35"/>
    </row>
    <row r="1005" spans="1:23" ht="30" customHeight="1" thickBot="1" x14ac:dyDescent="0.4">
      <c r="A1005" s="1522"/>
      <c r="B1005" s="1523"/>
      <c r="C1005" s="1523"/>
      <c r="D1005" s="1524"/>
      <c r="E1005" s="503"/>
      <c r="F1005" s="503"/>
      <c r="G1005" s="1366" t="s">
        <v>257</v>
      </c>
      <c r="H1005" s="1367"/>
      <c r="I1005" s="1368"/>
      <c r="J1005" s="560">
        <f>VLOOKUP(B994,'Mil Cost Premiums for PUCs'!$A$4:$R$285,18,FALSE)</f>
        <v>1.0485669999999998</v>
      </c>
      <c r="K1005" s="193">
        <f>+K1004*J1005</f>
        <v>88440.395047424536</v>
      </c>
      <c r="L1005" s="186" t="s">
        <v>504</v>
      </c>
      <c r="M1005" s="50"/>
      <c r="N1005" s="50"/>
      <c r="O1005" s="5"/>
      <c r="P1005" s="9"/>
      <c r="Q1005" s="34"/>
      <c r="R1005" s="5"/>
      <c r="U1005" s="35"/>
    </row>
    <row r="1006" spans="1:23" ht="30" customHeight="1" thickBot="1" x14ac:dyDescent="0.4">
      <c r="A1006" s="1199"/>
      <c r="B1006" s="1200"/>
      <c r="C1006" s="1200"/>
      <c r="D1006" s="1200"/>
      <c r="E1006" s="1200"/>
      <c r="F1006" s="1200"/>
      <c r="G1006" s="1200"/>
      <c r="H1006" s="1200"/>
      <c r="I1006" s="1200"/>
      <c r="J1006" s="1200"/>
      <c r="K1006" s="1200"/>
      <c r="L1006" s="1201"/>
      <c r="M1006" s="50"/>
      <c r="N1006" s="50"/>
      <c r="O1006" s="5"/>
      <c r="P1006" s="9"/>
      <c r="Q1006" s="34"/>
      <c r="R1006" s="5"/>
      <c r="U1006" s="35"/>
    </row>
    <row r="1007" spans="1:23" ht="30" customHeight="1" x14ac:dyDescent="0.35">
      <c r="A1007" s="388" t="s">
        <v>1</v>
      </c>
      <c r="B1007" s="389">
        <v>1753</v>
      </c>
      <c r="C1007" s="1205" t="s">
        <v>525</v>
      </c>
      <c r="D1007" s="1206"/>
      <c r="E1007" s="392" t="s">
        <v>3</v>
      </c>
      <c r="F1007" s="393" t="s">
        <v>504</v>
      </c>
      <c r="G1007" s="394" t="s">
        <v>526</v>
      </c>
      <c r="H1007" s="728">
        <v>16</v>
      </c>
      <c r="I1007" s="392" t="s">
        <v>5</v>
      </c>
      <c r="J1007" s="1556" t="s">
        <v>3010</v>
      </c>
      <c r="K1007" s="1556"/>
      <c r="L1007" s="1557"/>
      <c r="M1007" s="50"/>
      <c r="N1007" s="50"/>
      <c r="O1007" s="5"/>
      <c r="P1007" s="9"/>
      <c r="Q1007" s="34"/>
      <c r="R1007" s="5"/>
      <c r="U1007" s="35"/>
    </row>
    <row r="1008" spans="1:23" ht="30" customHeight="1" x14ac:dyDescent="0.35">
      <c r="A1008" s="185" t="s">
        <v>506</v>
      </c>
      <c r="B1008" s="1280" t="s">
        <v>211</v>
      </c>
      <c r="C1008" s="1281"/>
      <c r="D1008" s="1282"/>
      <c r="E1008" s="566" t="s">
        <v>52</v>
      </c>
      <c r="F1008" s="566" t="s">
        <v>53</v>
      </c>
      <c r="G1008" s="1219" t="s">
        <v>54</v>
      </c>
      <c r="H1008" s="1220"/>
      <c r="I1008" s="185" t="s">
        <v>188</v>
      </c>
      <c r="J1008" s="632" t="s">
        <v>195</v>
      </c>
      <c r="K1008" s="1209" t="s">
        <v>180</v>
      </c>
      <c r="L1008" s="1210"/>
      <c r="M1008" s="50"/>
      <c r="N1008" s="50"/>
      <c r="O1008" s="5"/>
      <c r="P1008" s="9"/>
      <c r="Q1008" s="34"/>
      <c r="R1008" s="5"/>
      <c r="U1008" s="35"/>
    </row>
    <row r="1009" spans="1:21" ht="30" customHeight="1" x14ac:dyDescent="0.35">
      <c r="A1009" s="186" t="s">
        <v>465</v>
      </c>
      <c r="B1009" s="1212" t="s">
        <v>527</v>
      </c>
      <c r="C1009" s="1213"/>
      <c r="D1009" s="1214"/>
      <c r="E1009" s="202">
        <f>+Q910</f>
        <v>11.775</v>
      </c>
      <c r="F1009" s="186" t="s">
        <v>108</v>
      </c>
      <c r="G1009" s="127">
        <f>7*62</f>
        <v>434</v>
      </c>
      <c r="H1009" s="714" t="s">
        <v>508</v>
      </c>
      <c r="I1009" s="204">
        <f>+S910</f>
        <v>1.07</v>
      </c>
      <c r="J1009" s="204">
        <f>+T910</f>
        <v>0.98130841121495327</v>
      </c>
      <c r="K1009" s="194">
        <f>+E1009*G1009*I1009*J1009</f>
        <v>5365.8675000000003</v>
      </c>
      <c r="L1009" s="186" t="s">
        <v>504</v>
      </c>
      <c r="M1009" s="50"/>
      <c r="O1009" s="5"/>
      <c r="P1009" s="9"/>
      <c r="Q1009" s="34"/>
      <c r="R1009" s="5"/>
      <c r="U1009" s="35"/>
    </row>
    <row r="1010" spans="1:21" ht="30" customHeight="1" x14ac:dyDescent="0.35">
      <c r="A1010" s="186" t="s">
        <v>193</v>
      </c>
      <c r="B1010" s="1212" t="s">
        <v>470</v>
      </c>
      <c r="C1010" s="1213"/>
      <c r="D1010" s="1214"/>
      <c r="E1010" s="202">
        <f>+Q914</f>
        <v>665</v>
      </c>
      <c r="F1010" s="127" t="s">
        <v>40</v>
      </c>
      <c r="G1010" s="127">
        <v>7</v>
      </c>
      <c r="H1010" s="714" t="s">
        <v>509</v>
      </c>
      <c r="I1010" s="204">
        <f>+S914</f>
        <v>1.01</v>
      </c>
      <c r="J1010" s="204">
        <f>+T914</f>
        <v>0.98130841121495327</v>
      </c>
      <c r="K1010" s="194">
        <f>+E1010*G1010*I1010*J1010</f>
        <v>4613.6705607476633</v>
      </c>
      <c r="L1010" s="186" t="s">
        <v>504</v>
      </c>
      <c r="M1010" s="95"/>
      <c r="N1010" s="50"/>
      <c r="O1010" s="5"/>
      <c r="P1010" s="9"/>
      <c r="Q1010" s="34"/>
      <c r="R1010" s="5"/>
      <c r="U1010" s="35"/>
    </row>
    <row r="1011" spans="1:21" ht="30" customHeight="1" x14ac:dyDescent="0.35">
      <c r="A1011" s="186" t="s">
        <v>193</v>
      </c>
      <c r="B1011" s="1212" t="s">
        <v>475</v>
      </c>
      <c r="C1011" s="1213"/>
      <c r="D1011" s="1214"/>
      <c r="E1011" s="202">
        <f>+Q916</f>
        <v>478.5</v>
      </c>
      <c r="F1011" s="127" t="s">
        <v>40</v>
      </c>
      <c r="G1011" s="127">
        <v>7</v>
      </c>
      <c r="H1011" s="714" t="s">
        <v>509</v>
      </c>
      <c r="I1011" s="204">
        <f>+S916</f>
        <v>1.01</v>
      </c>
      <c r="J1011" s="204">
        <f>+T916</f>
        <v>0.98130841121495327</v>
      </c>
      <c r="K1011" s="194">
        <f>+E1011*G1011*I1011*J1011</f>
        <v>3319.7614485981308</v>
      </c>
      <c r="L1011" s="186" t="s">
        <v>504</v>
      </c>
      <c r="N1011" s="50"/>
      <c r="O1011" s="5"/>
      <c r="P1011" s="9"/>
      <c r="Q1011" s="34"/>
      <c r="R1011" s="5"/>
      <c r="U1011" s="35"/>
    </row>
    <row r="1012" spans="1:21" ht="30" customHeight="1" x14ac:dyDescent="0.35">
      <c r="A1012" s="186" t="s">
        <v>477</v>
      </c>
      <c r="B1012" s="1212" t="s">
        <v>478</v>
      </c>
      <c r="C1012" s="1213"/>
      <c r="D1012" s="1214"/>
      <c r="E1012" s="202">
        <f>+Q918</f>
        <v>207.9</v>
      </c>
      <c r="F1012" s="127" t="s">
        <v>40</v>
      </c>
      <c r="G1012" s="127">
        <v>28</v>
      </c>
      <c r="H1012" s="714" t="s">
        <v>509</v>
      </c>
      <c r="I1012" s="204">
        <f>+S918</f>
        <v>1.01</v>
      </c>
      <c r="J1012" s="204">
        <f>+T918</f>
        <v>0.98130841121495327</v>
      </c>
      <c r="K1012" s="194">
        <f>+E1012*G1012*I1012*J1012</f>
        <v>5769.5164485981313</v>
      </c>
      <c r="L1012" s="186" t="s">
        <v>504</v>
      </c>
      <c r="M1012" s="50"/>
      <c r="N1012" s="50"/>
      <c r="O1012" s="5"/>
      <c r="P1012" s="9"/>
      <c r="Q1012" s="34"/>
      <c r="R1012" s="5"/>
      <c r="U1012" s="35"/>
    </row>
    <row r="1013" spans="1:21" ht="30" customHeight="1" x14ac:dyDescent="0.35">
      <c r="A1013" s="186" t="s">
        <v>479</v>
      </c>
      <c r="B1013" s="1212" t="s">
        <v>528</v>
      </c>
      <c r="C1013" s="1213"/>
      <c r="D1013" s="1214"/>
      <c r="E1013" s="202">
        <f>+Q919</f>
        <v>25.849999999999998</v>
      </c>
      <c r="F1013" s="127" t="s">
        <v>28</v>
      </c>
      <c r="G1013" s="788">
        <f>574*7</f>
        <v>4018</v>
      </c>
      <c r="H1013" s="714" t="s">
        <v>511</v>
      </c>
      <c r="I1013" s="204">
        <f>+S919</f>
        <v>1.01</v>
      </c>
      <c r="J1013" s="204">
        <f>+T919</f>
        <v>0.98130841121495327</v>
      </c>
      <c r="K1013" s="194">
        <f>+E1013*G1013*I1013*J1013</f>
        <v>102943.13144859813</v>
      </c>
      <c r="L1013" s="186" t="s">
        <v>504</v>
      </c>
      <c r="M1013" s="50"/>
      <c r="N1013" s="50"/>
      <c r="O1013" s="5"/>
      <c r="P1013" s="9"/>
      <c r="Q1013" s="34"/>
      <c r="R1013" s="5"/>
      <c r="U1013" s="35"/>
    </row>
    <row r="1014" spans="1:21" ht="30" customHeight="1" x14ac:dyDescent="0.35">
      <c r="A1014" s="186" t="s">
        <v>221</v>
      </c>
      <c r="B1014" s="1212" t="s">
        <v>484</v>
      </c>
      <c r="C1014" s="1213"/>
      <c r="D1014" s="1214"/>
      <c r="E1014" s="202">
        <f>+Q923</f>
        <v>558</v>
      </c>
      <c r="F1014" s="127" t="s">
        <v>40</v>
      </c>
      <c r="G1014" s="788"/>
      <c r="H1014" s="714"/>
      <c r="I1014" s="204">
        <f>+S909</f>
        <v>1.1000000000000001</v>
      </c>
      <c r="J1014" s="204">
        <f>+T909</f>
        <v>0.98130841121495327</v>
      </c>
      <c r="K1014" s="194">
        <f>+E1014*J1014*I1014</f>
        <v>602.3271028037384</v>
      </c>
      <c r="L1014" s="186" t="s">
        <v>504</v>
      </c>
      <c r="M1014" s="50"/>
      <c r="N1014" s="50"/>
      <c r="O1014" s="5"/>
      <c r="P1014" s="9"/>
      <c r="Q1014" s="34"/>
      <c r="R1014" s="5"/>
      <c r="U1014" s="35"/>
    </row>
    <row r="1015" spans="1:21" ht="30" customHeight="1" x14ac:dyDescent="0.35">
      <c r="A1015" s="186">
        <v>93410</v>
      </c>
      <c r="B1015" s="1212" t="s">
        <v>529</v>
      </c>
      <c r="C1015" s="1213"/>
      <c r="D1015" s="1214"/>
      <c r="E1015" s="202">
        <f>+Q928</f>
        <v>11.54</v>
      </c>
      <c r="F1015" s="127" t="s">
        <v>16</v>
      </c>
      <c r="G1015" s="715">
        <v>277.9375</v>
      </c>
      <c r="H1015" s="714" t="s">
        <v>514</v>
      </c>
      <c r="I1015" s="224">
        <f>+S928</f>
        <v>0.93863689284411045</v>
      </c>
      <c r="J1015" s="186"/>
      <c r="K1015" s="194">
        <f>+E1015*G1015*I1015</f>
        <v>3010.5827968120839</v>
      </c>
      <c r="L1015" s="186" t="s">
        <v>504</v>
      </c>
      <c r="M1015" s="50"/>
      <c r="N1015" s="50"/>
      <c r="O1015" s="5"/>
      <c r="P1015" s="9"/>
      <c r="Q1015" s="34"/>
      <c r="R1015" s="5"/>
      <c r="U1015" s="35"/>
    </row>
    <row r="1016" spans="1:21" ht="30" customHeight="1" x14ac:dyDescent="0.35">
      <c r="A1016" s="186">
        <v>93210</v>
      </c>
      <c r="B1016" s="1212" t="s">
        <v>530</v>
      </c>
      <c r="C1016" s="1213"/>
      <c r="D1016" s="1214"/>
      <c r="E1016" s="202">
        <f>+Q930</f>
        <v>149.81</v>
      </c>
      <c r="F1016" s="127" t="s">
        <v>16</v>
      </c>
      <c r="G1016" s="715">
        <v>27.8125</v>
      </c>
      <c r="H1016" s="714" t="s">
        <v>514</v>
      </c>
      <c r="I1016" s="224">
        <f>+S930</f>
        <v>0.93863689284411045</v>
      </c>
      <c r="J1016" s="186"/>
      <c r="K1016" s="194">
        <f>+E1016*G1016*I1016</f>
        <v>3910.9156780034</v>
      </c>
      <c r="L1016" s="186" t="s">
        <v>504</v>
      </c>
      <c r="M1016" s="50"/>
      <c r="N1016" s="50"/>
      <c r="O1016" s="5"/>
      <c r="P1016" s="9"/>
      <c r="Q1016" s="34"/>
      <c r="R1016" s="5"/>
      <c r="U1016" s="35"/>
    </row>
    <row r="1017" spans="1:21" ht="30" customHeight="1" x14ac:dyDescent="0.35">
      <c r="A1017" s="1511" t="s">
        <v>3028</v>
      </c>
      <c r="B1017" s="1521"/>
      <c r="C1017" s="1521"/>
      <c r="D1017" s="1237"/>
      <c r="E1017" s="194"/>
      <c r="F1017" s="186"/>
      <c r="G1017" s="503"/>
      <c r="H1017" s="534"/>
      <c r="I1017" s="186"/>
      <c r="J1017" s="186" t="s">
        <v>251</v>
      </c>
      <c r="K1017" s="194">
        <f>SUM(K1009:K1016)</f>
        <v>129535.77298416127</v>
      </c>
      <c r="L1017" s="186" t="s">
        <v>504</v>
      </c>
      <c r="M1017" s="50"/>
      <c r="N1017" s="95"/>
      <c r="O1017" s="5"/>
      <c r="P1017" s="9"/>
      <c r="Q1017" s="34"/>
      <c r="R1017" s="5"/>
      <c r="U1017" s="35"/>
    </row>
    <row r="1018" spans="1:21" ht="30" customHeight="1" thickBot="1" x14ac:dyDescent="0.4">
      <c r="A1018" s="1522"/>
      <c r="B1018" s="1523"/>
      <c r="C1018" s="1523"/>
      <c r="D1018" s="1524"/>
      <c r="E1018" s="503"/>
      <c r="F1018" s="503"/>
      <c r="G1018" s="1366" t="s">
        <v>257</v>
      </c>
      <c r="H1018" s="1367"/>
      <c r="I1018" s="1368"/>
      <c r="J1018" s="560">
        <f>VLOOKUP(B1007,'Mil Cost Premiums for PUCs'!$A$4:$R$285,18,FALSE)</f>
        <v>1.0485669999999998</v>
      </c>
      <c r="K1018" s="193">
        <f>+K1017*J1018</f>
        <v>135826.93687068301</v>
      </c>
      <c r="L1018" s="186" t="s">
        <v>504</v>
      </c>
      <c r="M1018" s="50"/>
      <c r="O1018" s="5"/>
      <c r="P1018" s="9"/>
      <c r="Q1018" s="34"/>
      <c r="R1018" s="5"/>
      <c r="U1018" s="35"/>
    </row>
    <row r="1019" spans="1:21" ht="30" customHeight="1" thickBot="1" x14ac:dyDescent="0.4">
      <c r="A1019" s="1199"/>
      <c r="B1019" s="1200"/>
      <c r="C1019" s="1200"/>
      <c r="D1019" s="1200"/>
      <c r="E1019" s="1200"/>
      <c r="F1019" s="1200"/>
      <c r="G1019" s="1200"/>
      <c r="H1019" s="1200"/>
      <c r="I1019" s="1200"/>
      <c r="J1019" s="1200"/>
      <c r="K1019" s="1200"/>
      <c r="L1019" s="1201"/>
      <c r="M1019" s="95"/>
      <c r="N1019" s="50"/>
      <c r="O1019" s="5"/>
      <c r="P1019" s="9"/>
      <c r="Q1019" s="34"/>
      <c r="R1019" s="5"/>
      <c r="U1019" s="35"/>
    </row>
    <row r="1020" spans="1:21" ht="30" customHeight="1" x14ac:dyDescent="0.35">
      <c r="A1020" s="455" t="s">
        <v>1</v>
      </c>
      <c r="B1020" s="439">
        <v>1754</v>
      </c>
      <c r="C1020" s="1384" t="s">
        <v>531</v>
      </c>
      <c r="D1020" s="1385"/>
      <c r="E1020" s="456" t="s">
        <v>3</v>
      </c>
      <c r="F1020" s="457" t="s">
        <v>504</v>
      </c>
      <c r="G1020" s="394" t="s">
        <v>505</v>
      </c>
      <c r="H1020" s="836">
        <v>32</v>
      </c>
      <c r="I1020" s="456" t="s">
        <v>5</v>
      </c>
      <c r="J1020" s="1556" t="s">
        <v>3010</v>
      </c>
      <c r="K1020" s="1556"/>
      <c r="L1020" s="1557"/>
      <c r="N1020" s="50"/>
      <c r="O1020" s="5"/>
      <c r="P1020" s="9"/>
      <c r="Q1020" s="34"/>
      <c r="R1020" s="5"/>
      <c r="U1020" s="35"/>
    </row>
    <row r="1021" spans="1:21" ht="30" customHeight="1" x14ac:dyDescent="0.35">
      <c r="A1021" s="185" t="s">
        <v>506</v>
      </c>
      <c r="B1021" s="1280" t="s">
        <v>211</v>
      </c>
      <c r="C1021" s="1281"/>
      <c r="D1021" s="1282"/>
      <c r="E1021" s="566" t="s">
        <v>52</v>
      </c>
      <c r="F1021" s="566" t="s">
        <v>53</v>
      </c>
      <c r="G1021" s="1219" t="s">
        <v>54</v>
      </c>
      <c r="H1021" s="1220"/>
      <c r="I1021" s="185" t="s">
        <v>188</v>
      </c>
      <c r="J1021" s="632" t="s">
        <v>195</v>
      </c>
      <c r="K1021" s="1209" t="s">
        <v>180</v>
      </c>
      <c r="L1021" s="1210"/>
      <c r="M1021" s="50"/>
      <c r="N1021" s="50"/>
      <c r="O1021" s="5"/>
      <c r="P1021" s="9"/>
      <c r="Q1021" s="34"/>
      <c r="R1021" s="5"/>
      <c r="U1021" s="35"/>
    </row>
    <row r="1022" spans="1:21" ht="30" customHeight="1" x14ac:dyDescent="0.35">
      <c r="A1022" s="186" t="s">
        <v>465</v>
      </c>
      <c r="B1022" s="1212" t="s">
        <v>532</v>
      </c>
      <c r="C1022" s="1213"/>
      <c r="D1022" s="1214"/>
      <c r="E1022" s="202">
        <f>+Q910</f>
        <v>11.775</v>
      </c>
      <c r="F1022" s="186" t="s">
        <v>108</v>
      </c>
      <c r="G1022" s="127">
        <f>2*62</f>
        <v>124</v>
      </c>
      <c r="H1022" s="714" t="s">
        <v>508</v>
      </c>
      <c r="I1022" s="204">
        <f>+S910</f>
        <v>1.07</v>
      </c>
      <c r="J1022" s="204">
        <f>+T910</f>
        <v>0.98130841121495327</v>
      </c>
      <c r="K1022" s="194">
        <f>+E1022*G1022*I1022*J1022</f>
        <v>1533.1050000000002</v>
      </c>
      <c r="L1022" s="186" t="s">
        <v>504</v>
      </c>
      <c r="M1022" s="50"/>
      <c r="N1022" s="50"/>
      <c r="O1022" s="5"/>
      <c r="P1022" s="9"/>
      <c r="Q1022" s="34"/>
      <c r="R1022" s="5"/>
      <c r="U1022" s="35"/>
    </row>
    <row r="1023" spans="1:21" ht="30" customHeight="1" x14ac:dyDescent="0.35">
      <c r="A1023" s="186" t="s">
        <v>193</v>
      </c>
      <c r="B1023" s="1212" t="s">
        <v>475</v>
      </c>
      <c r="C1023" s="1213"/>
      <c r="D1023" s="1214"/>
      <c r="E1023" s="202">
        <f>+Q916</f>
        <v>478.5</v>
      </c>
      <c r="F1023" s="127" t="s">
        <v>40</v>
      </c>
      <c r="G1023" s="127">
        <v>2</v>
      </c>
      <c r="H1023" s="714" t="s">
        <v>509</v>
      </c>
      <c r="I1023" s="204">
        <f>+S916</f>
        <v>1.01</v>
      </c>
      <c r="J1023" s="204">
        <f>+T916</f>
        <v>0.98130841121495327</v>
      </c>
      <c r="K1023" s="194">
        <f>+E1023*G1023*I1023*J1023</f>
        <v>948.50327102803737</v>
      </c>
      <c r="L1023" s="186" t="s">
        <v>504</v>
      </c>
      <c r="M1023" s="50"/>
      <c r="N1023" s="50"/>
      <c r="O1023" s="5"/>
      <c r="P1023" s="9"/>
      <c r="Q1023" s="34"/>
      <c r="R1023" s="5"/>
      <c r="U1023" s="35"/>
    </row>
    <row r="1024" spans="1:21" ht="30" customHeight="1" x14ac:dyDescent="0.35">
      <c r="A1024" s="186" t="s">
        <v>477</v>
      </c>
      <c r="B1024" s="1212" t="s">
        <v>478</v>
      </c>
      <c r="C1024" s="1213"/>
      <c r="D1024" s="1214"/>
      <c r="E1024" s="202">
        <f>+Q918</f>
        <v>207.9</v>
      </c>
      <c r="F1024" s="127" t="s">
        <v>40</v>
      </c>
      <c r="G1024" s="127">
        <v>4</v>
      </c>
      <c r="H1024" s="714" t="s">
        <v>509</v>
      </c>
      <c r="I1024" s="204">
        <f>+S918</f>
        <v>1.01</v>
      </c>
      <c r="J1024" s="204">
        <f>+T918</f>
        <v>0.98130841121495327</v>
      </c>
      <c r="K1024" s="194">
        <f>+E1024*G1024*I1024*J1024</f>
        <v>824.21663551401878</v>
      </c>
      <c r="L1024" s="186" t="s">
        <v>504</v>
      </c>
      <c r="M1024" s="50"/>
      <c r="N1024" s="50"/>
      <c r="O1024" s="5"/>
      <c r="P1024" s="9"/>
      <c r="Q1024" s="34"/>
      <c r="R1024" s="5"/>
      <c r="U1024" s="35"/>
    </row>
    <row r="1025" spans="1:23" ht="30" customHeight="1" x14ac:dyDescent="0.35">
      <c r="A1025" s="186" t="s">
        <v>479</v>
      </c>
      <c r="B1025" s="1212" t="s">
        <v>533</v>
      </c>
      <c r="C1025" s="1213"/>
      <c r="D1025" s="1214"/>
      <c r="E1025" s="202">
        <f>+Q919</f>
        <v>25.849999999999998</v>
      </c>
      <c r="F1025" s="127" t="s">
        <v>28</v>
      </c>
      <c r="G1025" s="127">
        <v>82</v>
      </c>
      <c r="H1025" s="714" t="s">
        <v>511</v>
      </c>
      <c r="I1025" s="204">
        <f>+S919</f>
        <v>1.01</v>
      </c>
      <c r="J1025" s="204">
        <f>+T919</f>
        <v>0.98130841121495327</v>
      </c>
      <c r="K1025" s="194">
        <f>+E1025*G1025*I1025*J1025</f>
        <v>2100.8802336448598</v>
      </c>
      <c r="L1025" s="186" t="s">
        <v>504</v>
      </c>
      <c r="M1025" s="50"/>
      <c r="N1025" s="50"/>
      <c r="O1025" s="5"/>
      <c r="P1025" s="9"/>
      <c r="Q1025" s="34"/>
      <c r="R1025" s="5"/>
      <c r="U1025" s="35"/>
    </row>
    <row r="1026" spans="1:23" ht="30" customHeight="1" x14ac:dyDescent="0.35">
      <c r="A1026" s="186" t="s">
        <v>221</v>
      </c>
      <c r="B1026" s="1212" t="s">
        <v>484</v>
      </c>
      <c r="C1026" s="1213"/>
      <c r="D1026" s="1214"/>
      <c r="E1026" s="202">
        <f>+Q923</f>
        <v>558</v>
      </c>
      <c r="F1026" s="127" t="s">
        <v>40</v>
      </c>
      <c r="G1026" s="127"/>
      <c r="H1026" s="714"/>
      <c r="I1026" s="204">
        <f>+S909</f>
        <v>1.1000000000000001</v>
      </c>
      <c r="J1026" s="204">
        <f>+T909</f>
        <v>0.98130841121495327</v>
      </c>
      <c r="K1026" s="194">
        <f>+E1026*J1026*I1026</f>
        <v>602.3271028037384</v>
      </c>
      <c r="L1026" s="186" t="s">
        <v>504</v>
      </c>
      <c r="M1026" s="50"/>
      <c r="N1026" s="50"/>
      <c r="O1026" s="5"/>
      <c r="P1026" s="9"/>
      <c r="Q1026" s="34"/>
      <c r="R1026" s="5"/>
      <c r="U1026" s="35"/>
    </row>
    <row r="1027" spans="1:23" ht="30" customHeight="1" x14ac:dyDescent="0.35">
      <c r="A1027" s="186">
        <v>93410</v>
      </c>
      <c r="B1027" s="1212" t="s">
        <v>534</v>
      </c>
      <c r="C1027" s="1213"/>
      <c r="D1027" s="1214"/>
      <c r="E1027" s="202">
        <f>+Q928</f>
        <v>11.54</v>
      </c>
      <c r="F1027" s="127" t="s">
        <v>16</v>
      </c>
      <c r="G1027" s="788">
        <f>4096/32</f>
        <v>128</v>
      </c>
      <c r="H1027" s="714" t="s">
        <v>514</v>
      </c>
      <c r="I1027" s="224">
        <f>+S928</f>
        <v>0.93863689284411045</v>
      </c>
      <c r="J1027" s="186"/>
      <c r="K1027" s="194">
        <f>+E1027*G1027*I1027</f>
        <v>1386.4793271578924</v>
      </c>
      <c r="L1027" s="186" t="s">
        <v>504</v>
      </c>
      <c r="M1027" s="50"/>
      <c r="N1027" s="50"/>
      <c r="O1027" s="5"/>
      <c r="P1027" s="9"/>
      <c r="Q1027" s="34"/>
      <c r="R1027" s="5"/>
      <c r="U1027" s="35"/>
    </row>
    <row r="1028" spans="1:23" ht="30" customHeight="1" x14ac:dyDescent="0.35">
      <c r="A1028" s="186">
        <v>93210</v>
      </c>
      <c r="B1028" s="1212" t="s">
        <v>535</v>
      </c>
      <c r="C1028" s="1213"/>
      <c r="D1028" s="1214"/>
      <c r="E1028" s="202">
        <f>+Q930</f>
        <v>149.81</v>
      </c>
      <c r="F1028" s="127" t="s">
        <v>16</v>
      </c>
      <c r="G1028" s="715">
        <v>12.78125</v>
      </c>
      <c r="H1028" s="714" t="s">
        <v>514</v>
      </c>
      <c r="I1028" s="224">
        <f>+S930</f>
        <v>0.93863689284411045</v>
      </c>
      <c r="J1028" s="186"/>
      <c r="K1028" s="194">
        <f>+E1028*G1028*I1028</f>
        <v>1797.2634969701019</v>
      </c>
      <c r="L1028" s="186" t="s">
        <v>504</v>
      </c>
      <c r="M1028" s="50"/>
      <c r="N1028" s="50"/>
      <c r="O1028" s="5"/>
      <c r="P1028" s="9"/>
      <c r="Q1028" s="34"/>
      <c r="R1028" s="5"/>
      <c r="U1028" s="35"/>
    </row>
    <row r="1029" spans="1:23" ht="30" customHeight="1" x14ac:dyDescent="0.35">
      <c r="A1029" s="1511" t="s">
        <v>3028</v>
      </c>
      <c r="B1029" s="1521"/>
      <c r="C1029" s="1521"/>
      <c r="D1029" s="1237"/>
      <c r="E1029" s="194"/>
      <c r="F1029" s="186"/>
      <c r="G1029" s="503"/>
      <c r="H1029" s="534"/>
      <c r="I1029" s="186"/>
      <c r="J1029" s="186" t="s">
        <v>251</v>
      </c>
      <c r="K1029" s="194">
        <f>SUM(K1022:K1028)</f>
        <v>9192.7750671186477</v>
      </c>
      <c r="L1029" s="186" t="s">
        <v>504</v>
      </c>
      <c r="M1029" s="50"/>
      <c r="N1029" s="50"/>
      <c r="O1029" s="5"/>
      <c r="P1029" s="9"/>
      <c r="Q1029" s="34"/>
      <c r="R1029" s="5"/>
      <c r="U1029" s="35"/>
    </row>
    <row r="1030" spans="1:23" ht="30" customHeight="1" thickBot="1" x14ac:dyDescent="0.4">
      <c r="A1030" s="1522"/>
      <c r="B1030" s="1523"/>
      <c r="C1030" s="1523"/>
      <c r="D1030" s="1524"/>
      <c r="E1030" s="503"/>
      <c r="F1030" s="503"/>
      <c r="G1030" s="1366" t="s">
        <v>257</v>
      </c>
      <c r="H1030" s="1367"/>
      <c r="I1030" s="1368"/>
      <c r="J1030" s="560">
        <f>VLOOKUP(B1020,'Mil Cost Premiums for PUCs'!$A$4:$R$285,18,FALSE)</f>
        <v>1.0485669999999998</v>
      </c>
      <c r="K1030" s="193">
        <f>+K1029*J1030</f>
        <v>9639.2405738033976</v>
      </c>
      <c r="L1030" s="186" t="s">
        <v>504</v>
      </c>
      <c r="M1030" s="50"/>
      <c r="N1030" s="50"/>
      <c r="O1030" s="5"/>
      <c r="P1030" s="9"/>
      <c r="Q1030" s="34"/>
      <c r="R1030" s="5"/>
      <c r="U1030" s="35"/>
    </row>
    <row r="1031" spans="1:23" ht="30" customHeight="1" thickBot="1" x14ac:dyDescent="0.4">
      <c r="A1031" s="1199"/>
      <c r="B1031" s="1200"/>
      <c r="C1031" s="1200"/>
      <c r="D1031" s="1200"/>
      <c r="E1031" s="1200"/>
      <c r="F1031" s="1200"/>
      <c r="G1031" s="1200"/>
      <c r="H1031" s="1200"/>
      <c r="I1031" s="1200"/>
      <c r="J1031" s="1200"/>
      <c r="K1031" s="1200"/>
      <c r="L1031" s="1201"/>
      <c r="M1031" s="50"/>
      <c r="N1031" s="50"/>
      <c r="O1031" s="5"/>
      <c r="P1031" s="9"/>
      <c r="Q1031" s="34"/>
      <c r="R1031" s="5"/>
      <c r="U1031" s="837"/>
      <c r="V1031" s="837"/>
      <c r="W1031" s="837"/>
    </row>
    <row r="1032" spans="1:23" ht="30" customHeight="1" x14ac:dyDescent="0.35">
      <c r="A1032" s="388" t="s">
        <v>1</v>
      </c>
      <c r="B1032" s="389">
        <v>1755</v>
      </c>
      <c r="C1032" s="1205" t="s">
        <v>536</v>
      </c>
      <c r="D1032" s="1206"/>
      <c r="E1032" s="392" t="s">
        <v>3</v>
      </c>
      <c r="F1032" s="393" t="s">
        <v>504</v>
      </c>
      <c r="G1032" s="394" t="s">
        <v>505</v>
      </c>
      <c r="H1032" s="728">
        <v>32</v>
      </c>
      <c r="I1032" s="392" t="s">
        <v>5</v>
      </c>
      <c r="J1032" s="1556" t="s">
        <v>3010</v>
      </c>
      <c r="K1032" s="1556"/>
      <c r="L1032" s="1557"/>
      <c r="M1032" s="50"/>
      <c r="N1032" s="50"/>
      <c r="O1032" s="837"/>
      <c r="P1032" s="837"/>
      <c r="Q1032" s="838"/>
      <c r="R1032" s="837"/>
      <c r="S1032" s="837"/>
      <c r="T1032" s="837"/>
      <c r="U1032" s="35"/>
    </row>
    <row r="1033" spans="1:23" ht="30" customHeight="1" x14ac:dyDescent="0.35">
      <c r="A1033" s="185" t="s">
        <v>506</v>
      </c>
      <c r="B1033" s="1280" t="s">
        <v>211</v>
      </c>
      <c r="C1033" s="1281"/>
      <c r="D1033" s="1282"/>
      <c r="E1033" s="566" t="s">
        <v>52</v>
      </c>
      <c r="F1033" s="566" t="s">
        <v>53</v>
      </c>
      <c r="G1033" s="1219" t="s">
        <v>54</v>
      </c>
      <c r="H1033" s="1220"/>
      <c r="I1033" s="632" t="s">
        <v>188</v>
      </c>
      <c r="J1033" s="632" t="s">
        <v>195</v>
      </c>
      <c r="K1033" s="1209" t="s">
        <v>180</v>
      </c>
      <c r="L1033" s="1210"/>
      <c r="M1033" s="50"/>
      <c r="N1033" s="50"/>
      <c r="O1033" s="5"/>
      <c r="P1033" s="9"/>
      <c r="Q1033" s="34"/>
      <c r="R1033" s="5"/>
      <c r="U1033" s="35"/>
    </row>
    <row r="1034" spans="1:23" ht="30" customHeight="1" x14ac:dyDescent="0.35">
      <c r="A1034" s="186" t="s">
        <v>193</v>
      </c>
      <c r="B1034" s="1212" t="s">
        <v>475</v>
      </c>
      <c r="C1034" s="1213"/>
      <c r="D1034" s="1214"/>
      <c r="E1034" s="202">
        <f>+Q916</f>
        <v>478.5</v>
      </c>
      <c r="F1034" s="127" t="s">
        <v>40</v>
      </c>
      <c r="G1034" s="127">
        <v>1</v>
      </c>
      <c r="H1034" s="714" t="s">
        <v>509</v>
      </c>
      <c r="I1034" s="204">
        <f>+S916</f>
        <v>1.01</v>
      </c>
      <c r="J1034" s="204">
        <f>+T916</f>
        <v>0.98130841121495327</v>
      </c>
      <c r="K1034" s="194">
        <f>+E1034*G1034*I1034*J1034</f>
        <v>474.25163551401869</v>
      </c>
      <c r="L1034" s="186" t="s">
        <v>504</v>
      </c>
      <c r="M1034" s="50"/>
      <c r="N1034" s="50"/>
      <c r="O1034" s="5"/>
      <c r="P1034" s="9"/>
      <c r="Q1034" s="34"/>
      <c r="R1034" s="5"/>
      <c r="U1034" s="35"/>
    </row>
    <row r="1035" spans="1:23" ht="30" customHeight="1" x14ac:dyDescent="0.35">
      <c r="A1035" s="186" t="s">
        <v>477</v>
      </c>
      <c r="B1035" s="1212" t="s">
        <v>478</v>
      </c>
      <c r="C1035" s="1213"/>
      <c r="D1035" s="1214"/>
      <c r="E1035" s="202">
        <f>+Q918</f>
        <v>207.9</v>
      </c>
      <c r="F1035" s="127" t="s">
        <v>40</v>
      </c>
      <c r="G1035" s="127">
        <v>4</v>
      </c>
      <c r="H1035" s="714" t="s">
        <v>509</v>
      </c>
      <c r="I1035" s="204">
        <f>+S918</f>
        <v>1.01</v>
      </c>
      <c r="J1035" s="204">
        <f>+T918</f>
        <v>0.98130841121495327</v>
      </c>
      <c r="K1035" s="194">
        <f>+E1035*G1035*I1035*J1035</f>
        <v>824.21663551401878</v>
      </c>
      <c r="L1035" s="186" t="s">
        <v>504</v>
      </c>
      <c r="M1035" s="95"/>
      <c r="O1035" s="5"/>
      <c r="P1035" s="9"/>
      <c r="Q1035" s="34"/>
      <c r="R1035" s="5"/>
      <c r="U1035" s="35"/>
    </row>
    <row r="1036" spans="1:23" ht="30" customHeight="1" x14ac:dyDescent="0.35">
      <c r="A1036" s="186" t="s">
        <v>479</v>
      </c>
      <c r="B1036" s="1212" t="s">
        <v>537</v>
      </c>
      <c r="C1036" s="1213"/>
      <c r="D1036" s="1214"/>
      <c r="E1036" s="202">
        <f>+Q920</f>
        <v>22.05</v>
      </c>
      <c r="F1036" s="127" t="s">
        <v>28</v>
      </c>
      <c r="G1036" s="127">
        <v>525</v>
      </c>
      <c r="H1036" s="714" t="s">
        <v>511</v>
      </c>
      <c r="I1036" s="204">
        <f>+S920</f>
        <v>1.01</v>
      </c>
      <c r="J1036" s="204">
        <f>+T920</f>
        <v>0.98130841121495327</v>
      </c>
      <c r="K1036" s="194">
        <f>+E1036*G1036*I1036*J1036</f>
        <v>11473.470210280375</v>
      </c>
      <c r="L1036" s="186" t="s">
        <v>504</v>
      </c>
      <c r="N1036" s="50"/>
      <c r="O1036" s="5"/>
      <c r="P1036" s="9"/>
      <c r="Q1036" s="34"/>
      <c r="R1036" s="5"/>
      <c r="U1036" s="35"/>
    </row>
    <row r="1037" spans="1:23" ht="30" customHeight="1" x14ac:dyDescent="0.35">
      <c r="A1037" s="186">
        <v>93410</v>
      </c>
      <c r="B1037" s="1212" t="s">
        <v>538</v>
      </c>
      <c r="C1037" s="1213"/>
      <c r="D1037" s="1214"/>
      <c r="E1037" s="202">
        <f>+Q928</f>
        <v>11.54</v>
      </c>
      <c r="F1037" s="127" t="s">
        <v>16</v>
      </c>
      <c r="G1037" s="715">
        <v>277.9375</v>
      </c>
      <c r="H1037" s="714" t="s">
        <v>514</v>
      </c>
      <c r="I1037" s="224">
        <f>+S928</f>
        <v>0.93863689284411045</v>
      </c>
      <c r="J1037" s="186"/>
      <c r="K1037" s="194">
        <f>+E1037*G1037*I1037</f>
        <v>3010.5827968120839</v>
      </c>
      <c r="L1037" s="186" t="s">
        <v>504</v>
      </c>
      <c r="M1037" s="50"/>
      <c r="N1037" s="50"/>
      <c r="O1037" s="5"/>
      <c r="P1037" s="9"/>
      <c r="Q1037" s="34"/>
      <c r="R1037" s="5"/>
      <c r="U1037" s="35"/>
    </row>
    <row r="1038" spans="1:23" ht="30" customHeight="1" x14ac:dyDescent="0.35">
      <c r="A1038" s="1511" t="s">
        <v>3028</v>
      </c>
      <c r="B1038" s="1521"/>
      <c r="C1038" s="1521"/>
      <c r="D1038" s="1237"/>
      <c r="E1038" s="194"/>
      <c r="F1038" s="186"/>
      <c r="G1038" s="503"/>
      <c r="H1038" s="534"/>
      <c r="I1038" s="186"/>
      <c r="J1038" s="186" t="s">
        <v>251</v>
      </c>
      <c r="K1038" s="194">
        <f>SUM(K1034:K1037)</f>
        <v>15782.521278120497</v>
      </c>
      <c r="L1038" s="186" t="s">
        <v>504</v>
      </c>
      <c r="M1038" s="50"/>
      <c r="N1038" s="50"/>
      <c r="O1038" s="5"/>
      <c r="P1038" s="9"/>
      <c r="Q1038" s="34"/>
      <c r="R1038" s="5"/>
      <c r="U1038" s="35"/>
    </row>
    <row r="1039" spans="1:23" ht="30" customHeight="1" thickBot="1" x14ac:dyDescent="0.4">
      <c r="A1039" s="1522"/>
      <c r="B1039" s="1523"/>
      <c r="C1039" s="1523"/>
      <c r="D1039" s="1524"/>
      <c r="E1039" s="503"/>
      <c r="F1039" s="503"/>
      <c r="G1039" s="1366" t="s">
        <v>257</v>
      </c>
      <c r="H1039" s="1367"/>
      <c r="I1039" s="1368"/>
      <c r="J1039" s="560">
        <f>VLOOKUP(B1032,'Mil Cost Premiums for PUCs'!$A$4:$R$285,18,FALSE)</f>
        <v>1.0485669999999998</v>
      </c>
      <c r="K1039" s="193">
        <f>+K1038*J1039</f>
        <v>16549.030989034971</v>
      </c>
      <c r="L1039" s="186" t="s">
        <v>504</v>
      </c>
      <c r="M1039" s="50"/>
      <c r="N1039" s="50"/>
      <c r="O1039" s="5"/>
      <c r="P1039" s="9"/>
      <c r="Q1039" s="34"/>
      <c r="R1039" s="5"/>
      <c r="U1039" s="35"/>
    </row>
    <row r="1040" spans="1:23" ht="30" customHeight="1" thickBot="1" x14ac:dyDescent="0.4">
      <c r="A1040" s="1199"/>
      <c r="B1040" s="1200"/>
      <c r="C1040" s="1200"/>
      <c r="D1040" s="1200"/>
      <c r="E1040" s="1200"/>
      <c r="F1040" s="1200"/>
      <c r="G1040" s="1200"/>
      <c r="H1040" s="1200"/>
      <c r="I1040" s="1200"/>
      <c r="J1040" s="1200"/>
      <c r="K1040" s="1200"/>
      <c r="L1040" s="1201"/>
      <c r="M1040" s="50"/>
      <c r="N1040" s="50"/>
      <c r="O1040" s="5"/>
      <c r="P1040" s="9"/>
      <c r="Q1040" s="34"/>
      <c r="R1040" s="5"/>
      <c r="U1040" s="35"/>
    </row>
    <row r="1041" spans="1:21" ht="30" customHeight="1" x14ac:dyDescent="0.35">
      <c r="A1041" s="388" t="s">
        <v>1</v>
      </c>
      <c r="B1041" s="389">
        <v>1756</v>
      </c>
      <c r="C1041" s="1205" t="s">
        <v>539</v>
      </c>
      <c r="D1041" s="1206"/>
      <c r="E1041" s="392" t="s">
        <v>3</v>
      </c>
      <c r="F1041" s="393" t="s">
        <v>504</v>
      </c>
      <c r="G1041" s="394" t="s">
        <v>540</v>
      </c>
      <c r="H1041" s="728">
        <v>4</v>
      </c>
      <c r="I1041" s="392" t="s">
        <v>5</v>
      </c>
      <c r="J1041" s="1556" t="s">
        <v>3010</v>
      </c>
      <c r="K1041" s="1556"/>
      <c r="L1041" s="1557"/>
      <c r="M1041" s="50"/>
      <c r="N1041" s="50"/>
      <c r="O1041" s="5"/>
      <c r="P1041" s="9"/>
      <c r="Q1041" s="34"/>
      <c r="R1041" s="5"/>
      <c r="U1041" s="35"/>
    </row>
    <row r="1042" spans="1:21" ht="30" customHeight="1" x14ac:dyDescent="0.35">
      <c r="A1042" s="185" t="s">
        <v>506</v>
      </c>
      <c r="B1042" s="1280" t="s">
        <v>211</v>
      </c>
      <c r="C1042" s="1281"/>
      <c r="D1042" s="1282"/>
      <c r="E1042" s="566" t="s">
        <v>52</v>
      </c>
      <c r="F1042" s="566" t="s">
        <v>53</v>
      </c>
      <c r="G1042" s="1219" t="s">
        <v>54</v>
      </c>
      <c r="H1042" s="1220"/>
      <c r="I1042" s="185" t="s">
        <v>188</v>
      </c>
      <c r="J1042" s="632" t="s">
        <v>195</v>
      </c>
      <c r="K1042" s="1209" t="s">
        <v>180</v>
      </c>
      <c r="L1042" s="1210"/>
      <c r="M1042" s="50"/>
      <c r="N1042" s="50"/>
      <c r="O1042" s="5"/>
      <c r="P1042" s="9"/>
      <c r="Q1042" s="34"/>
      <c r="R1042" s="5"/>
      <c r="U1042" s="35"/>
    </row>
    <row r="1043" spans="1:21" ht="30" customHeight="1" x14ac:dyDescent="0.35">
      <c r="A1043" s="185"/>
      <c r="B1043" s="1264" t="s">
        <v>541</v>
      </c>
      <c r="C1043" s="1264"/>
      <c r="D1043" s="1264"/>
      <c r="E1043" s="566"/>
      <c r="F1043" s="566"/>
      <c r="G1043" s="459"/>
      <c r="H1043" s="460"/>
      <c r="I1043" s="672"/>
      <c r="J1043" s="672"/>
      <c r="K1043" s="566"/>
      <c r="L1043" s="566"/>
      <c r="M1043" s="50"/>
      <c r="N1043" s="50"/>
      <c r="O1043" s="5"/>
      <c r="P1043" s="9"/>
      <c r="Q1043" s="34"/>
      <c r="R1043" s="5"/>
      <c r="U1043" s="35"/>
    </row>
    <row r="1044" spans="1:21" ht="30" customHeight="1" x14ac:dyDescent="0.35">
      <c r="A1044" s="186" t="s">
        <v>465</v>
      </c>
      <c r="B1044" s="1264" t="s">
        <v>542</v>
      </c>
      <c r="C1044" s="1264"/>
      <c r="D1044" s="1264"/>
      <c r="E1044" s="202">
        <f>+Q910</f>
        <v>11.775</v>
      </c>
      <c r="F1044" s="186" t="s">
        <v>108</v>
      </c>
      <c r="G1044" s="127">
        <f>4*62</f>
        <v>248</v>
      </c>
      <c r="H1044" s="714" t="s">
        <v>508</v>
      </c>
      <c r="I1044" s="204">
        <f>+S910</f>
        <v>1.07</v>
      </c>
      <c r="J1044" s="204">
        <f>+T910</f>
        <v>0.98130841121495327</v>
      </c>
      <c r="K1044" s="194">
        <f t="shared" ref="K1044:K1052" si="10">+E1044*G1044*I1044*J1044</f>
        <v>3066.2100000000005</v>
      </c>
      <c r="L1044" s="186" t="s">
        <v>504</v>
      </c>
      <c r="M1044" s="50"/>
      <c r="N1044" s="50"/>
      <c r="O1044" s="5"/>
      <c r="P1044" s="9"/>
      <c r="Q1044" s="34"/>
      <c r="R1044" s="5"/>
      <c r="U1044" s="35"/>
    </row>
    <row r="1045" spans="1:21" ht="30" customHeight="1" x14ac:dyDescent="0.35">
      <c r="A1045" s="186" t="s">
        <v>345</v>
      </c>
      <c r="B1045" s="1264" t="s">
        <v>543</v>
      </c>
      <c r="C1045" s="1264"/>
      <c r="D1045" s="1264"/>
      <c r="E1045" s="202">
        <f>+Q912</f>
        <v>22.25</v>
      </c>
      <c r="F1045" s="186" t="s">
        <v>108</v>
      </c>
      <c r="G1045" s="127">
        <f>80.7*6</f>
        <v>484.20000000000005</v>
      </c>
      <c r="H1045" s="714" t="s">
        <v>508</v>
      </c>
      <c r="I1045" s="204">
        <f>+S912</f>
        <v>0.95</v>
      </c>
      <c r="J1045" s="204">
        <f>+T912</f>
        <v>0.98130841121495327</v>
      </c>
      <c r="K1045" s="194">
        <f t="shared" si="10"/>
        <v>10043.473247663551</v>
      </c>
      <c r="L1045" s="186" t="s">
        <v>504</v>
      </c>
      <c r="M1045" s="50"/>
      <c r="N1045" s="50"/>
      <c r="O1045" s="5"/>
      <c r="P1045" s="9"/>
      <c r="Q1045" s="34"/>
      <c r="R1045" s="5"/>
      <c r="U1045" s="35"/>
    </row>
    <row r="1046" spans="1:21" ht="30" customHeight="1" x14ac:dyDescent="0.35">
      <c r="A1046" s="186" t="s">
        <v>193</v>
      </c>
      <c r="B1046" s="1264" t="s">
        <v>470</v>
      </c>
      <c r="C1046" s="1264"/>
      <c r="D1046" s="1264"/>
      <c r="E1046" s="202">
        <f>+Q914</f>
        <v>665</v>
      </c>
      <c r="F1046" s="127" t="s">
        <v>40</v>
      </c>
      <c r="G1046" s="127">
        <v>10</v>
      </c>
      <c r="H1046" s="714" t="s">
        <v>509</v>
      </c>
      <c r="I1046" s="204">
        <f>+S914</f>
        <v>1.01</v>
      </c>
      <c r="J1046" s="204">
        <f>+T914</f>
        <v>0.98130841121495327</v>
      </c>
      <c r="K1046" s="194">
        <f t="shared" si="10"/>
        <v>6590.9579439252338</v>
      </c>
      <c r="L1046" s="186" t="s">
        <v>504</v>
      </c>
      <c r="M1046" s="50"/>
      <c r="N1046" s="50"/>
      <c r="O1046" s="5"/>
      <c r="P1046" s="9"/>
      <c r="Q1046" s="34"/>
      <c r="R1046" s="5"/>
      <c r="U1046" s="35"/>
    </row>
    <row r="1047" spans="1:21" ht="30" customHeight="1" x14ac:dyDescent="0.35">
      <c r="A1047" s="186" t="s">
        <v>333</v>
      </c>
      <c r="B1047" s="1264" t="s">
        <v>482</v>
      </c>
      <c r="C1047" s="1264"/>
      <c r="D1047" s="1264"/>
      <c r="E1047" s="202">
        <f>+Q921</f>
        <v>25.875</v>
      </c>
      <c r="F1047" s="127" t="s">
        <v>28</v>
      </c>
      <c r="G1047" s="127">
        <f>6*50</f>
        <v>300</v>
      </c>
      <c r="H1047" s="714" t="s">
        <v>511</v>
      </c>
      <c r="I1047" s="204">
        <f>+S921</f>
        <v>1.01</v>
      </c>
      <c r="J1047" s="204">
        <f>+T921</f>
        <v>0.98130841121495327</v>
      </c>
      <c r="K1047" s="194">
        <f t="shared" si="10"/>
        <v>7693.5806074766351</v>
      </c>
      <c r="L1047" s="186" t="s">
        <v>504</v>
      </c>
      <c r="M1047" s="95"/>
      <c r="N1047" s="50"/>
      <c r="O1047" s="5"/>
      <c r="P1047" s="9"/>
      <c r="Q1047" s="34"/>
      <c r="R1047" s="5"/>
      <c r="U1047" s="35"/>
    </row>
    <row r="1048" spans="1:21" ht="30" customHeight="1" x14ac:dyDescent="0.35">
      <c r="A1048" s="186" t="s">
        <v>333</v>
      </c>
      <c r="B1048" s="1264" t="s">
        <v>544</v>
      </c>
      <c r="C1048" s="1264"/>
      <c r="D1048" s="1264"/>
      <c r="E1048" s="202">
        <f>+Q922</f>
        <v>3960</v>
      </c>
      <c r="F1048" s="127" t="s">
        <v>40</v>
      </c>
      <c r="G1048" s="127">
        <v>6</v>
      </c>
      <c r="H1048" s="714" t="s">
        <v>517</v>
      </c>
      <c r="I1048" s="204">
        <f>+S922</f>
        <v>1.01</v>
      </c>
      <c r="J1048" s="204">
        <f>+T922</f>
        <v>0.98130841121495327</v>
      </c>
      <c r="K1048" s="194">
        <f t="shared" si="10"/>
        <v>23549.04672897196</v>
      </c>
      <c r="L1048" s="186" t="s">
        <v>504</v>
      </c>
      <c r="N1048" s="50"/>
      <c r="O1048" s="5"/>
      <c r="P1048" s="9"/>
      <c r="Q1048" s="34"/>
      <c r="R1048" s="5"/>
      <c r="U1048" s="35"/>
    </row>
    <row r="1049" spans="1:21" ht="30" customHeight="1" x14ac:dyDescent="0.35">
      <c r="A1049" s="186" t="s">
        <v>193</v>
      </c>
      <c r="B1049" s="1264" t="s">
        <v>475</v>
      </c>
      <c r="C1049" s="1264"/>
      <c r="D1049" s="1264"/>
      <c r="E1049" s="202">
        <f>+Q916</f>
        <v>478.5</v>
      </c>
      <c r="F1049" s="127" t="s">
        <v>40</v>
      </c>
      <c r="G1049" s="127">
        <v>10</v>
      </c>
      <c r="H1049" s="714" t="s">
        <v>509</v>
      </c>
      <c r="I1049" s="204">
        <f>+S916</f>
        <v>1.01</v>
      </c>
      <c r="J1049" s="204">
        <f>+T916</f>
        <v>0.98130841121495327</v>
      </c>
      <c r="K1049" s="194">
        <f t="shared" si="10"/>
        <v>4742.5163551401874</v>
      </c>
      <c r="L1049" s="186" t="s">
        <v>504</v>
      </c>
      <c r="M1049" s="50"/>
      <c r="N1049" s="50"/>
      <c r="P1049" s="9"/>
      <c r="Q1049" s="34"/>
      <c r="R1049" s="5"/>
      <c r="U1049" s="35"/>
    </row>
    <row r="1050" spans="1:21" ht="30" customHeight="1" x14ac:dyDescent="0.35">
      <c r="A1050" s="186" t="s">
        <v>477</v>
      </c>
      <c r="B1050" s="1264" t="s">
        <v>545</v>
      </c>
      <c r="C1050" s="1264"/>
      <c r="D1050" s="1264"/>
      <c r="E1050" s="202">
        <f>+Q918</f>
        <v>207.9</v>
      </c>
      <c r="F1050" s="127" t="s">
        <v>40</v>
      </c>
      <c r="G1050" s="127">
        <v>40</v>
      </c>
      <c r="H1050" s="714" t="s">
        <v>509</v>
      </c>
      <c r="I1050" s="204">
        <f>+S918</f>
        <v>1.01</v>
      </c>
      <c r="J1050" s="204">
        <f>+T918</f>
        <v>0.98130841121495327</v>
      </c>
      <c r="K1050" s="194">
        <f t="shared" si="10"/>
        <v>8242.1663551401871</v>
      </c>
      <c r="L1050" s="186" t="s">
        <v>504</v>
      </c>
      <c r="M1050" s="50"/>
      <c r="N1050" s="50"/>
      <c r="P1050" s="9"/>
      <c r="Q1050" s="34"/>
      <c r="R1050" s="5"/>
      <c r="U1050" s="35"/>
    </row>
    <row r="1051" spans="1:21" ht="30" customHeight="1" x14ac:dyDescent="0.35">
      <c r="A1051" s="186" t="s">
        <v>479</v>
      </c>
      <c r="B1051" s="1264" t="s">
        <v>546</v>
      </c>
      <c r="C1051" s="1264"/>
      <c r="D1051" s="1264"/>
      <c r="E1051" s="202">
        <f>+Q919</f>
        <v>25.849999999999998</v>
      </c>
      <c r="F1051" s="127" t="s">
        <v>28</v>
      </c>
      <c r="G1051" s="788">
        <v>6412</v>
      </c>
      <c r="H1051" s="714" t="s">
        <v>511</v>
      </c>
      <c r="I1051" s="204">
        <f>+S919</f>
        <v>1.01</v>
      </c>
      <c r="J1051" s="204">
        <f>+T919</f>
        <v>0.98130841121495327</v>
      </c>
      <c r="K1051" s="194">
        <f t="shared" si="10"/>
        <v>164278.58607476635</v>
      </c>
      <c r="L1051" s="186" t="s">
        <v>504</v>
      </c>
      <c r="M1051" s="50"/>
      <c r="O1051" s="5"/>
      <c r="P1051" s="9"/>
      <c r="Q1051" s="34"/>
      <c r="R1051" s="5"/>
      <c r="U1051" s="35"/>
    </row>
    <row r="1052" spans="1:21" ht="30" customHeight="1" x14ac:dyDescent="0.35">
      <c r="A1052" s="186" t="s">
        <v>221</v>
      </c>
      <c r="B1052" s="1212" t="s">
        <v>547</v>
      </c>
      <c r="C1052" s="1213"/>
      <c r="D1052" s="1214"/>
      <c r="E1052" s="201">
        <f>+Q913</f>
        <v>6.6549999999999994</v>
      </c>
      <c r="F1052" s="127" t="s">
        <v>108</v>
      </c>
      <c r="G1052" s="127">
        <f>32*9</f>
        <v>288</v>
      </c>
      <c r="H1052" s="714" t="s">
        <v>508</v>
      </c>
      <c r="I1052" s="204">
        <f>+S909</f>
        <v>1.1000000000000001</v>
      </c>
      <c r="J1052" s="204">
        <f>+T913</f>
        <v>0.98130841121495327</v>
      </c>
      <c r="K1052" s="194">
        <f t="shared" si="10"/>
        <v>2068.896448598131</v>
      </c>
      <c r="L1052" s="186" t="s">
        <v>504</v>
      </c>
      <c r="M1052" s="50"/>
      <c r="N1052" s="50"/>
      <c r="O1052" s="5"/>
      <c r="P1052" s="9"/>
      <c r="Q1052" s="34"/>
      <c r="R1052" s="5"/>
      <c r="U1052" s="35"/>
    </row>
    <row r="1053" spans="1:21" ht="30" customHeight="1" x14ac:dyDescent="0.35">
      <c r="A1053" s="186">
        <v>93410</v>
      </c>
      <c r="B1053" s="1212" t="s">
        <v>548</v>
      </c>
      <c r="C1053" s="1213"/>
      <c r="D1053" s="1214"/>
      <c r="E1053" s="202">
        <f>+Q928</f>
        <v>11.54</v>
      </c>
      <c r="F1053" s="127" t="s">
        <v>16</v>
      </c>
      <c r="G1053" s="715">
        <v>261.5</v>
      </c>
      <c r="H1053" s="714" t="s">
        <v>514</v>
      </c>
      <c r="I1053" s="224">
        <f>+S928</f>
        <v>0.93863689284411045</v>
      </c>
      <c r="J1053" s="204"/>
      <c r="K1053" s="194">
        <f>+E1053*G1053*I1053</f>
        <v>2832.5339379046</v>
      </c>
      <c r="L1053" s="186" t="s">
        <v>504</v>
      </c>
      <c r="M1053" s="50"/>
      <c r="N1053" s="50"/>
      <c r="O1053" s="5"/>
      <c r="P1053" s="9"/>
      <c r="Q1053" s="34"/>
      <c r="R1053" s="5"/>
      <c r="U1053" s="35"/>
    </row>
    <row r="1054" spans="1:21" ht="30" customHeight="1" x14ac:dyDescent="0.35">
      <c r="A1054" s="1511" t="s">
        <v>3028</v>
      </c>
      <c r="B1054" s="1521"/>
      <c r="C1054" s="1521"/>
      <c r="D1054" s="1237"/>
      <c r="E1054" s="194"/>
      <c r="F1054" s="186"/>
      <c r="G1054" s="503"/>
      <c r="H1054" s="534"/>
      <c r="I1054" s="186"/>
      <c r="J1054" s="186" t="s">
        <v>251</v>
      </c>
      <c r="K1054" s="194">
        <f>SUM(K1044:K1053)</f>
        <v>233107.96769958685</v>
      </c>
      <c r="L1054" s="186" t="s">
        <v>504</v>
      </c>
      <c r="M1054" s="50"/>
      <c r="N1054" s="50"/>
      <c r="O1054" s="5"/>
      <c r="P1054" s="9"/>
      <c r="Q1054" s="34"/>
      <c r="R1054" s="5"/>
      <c r="U1054" s="35"/>
    </row>
    <row r="1055" spans="1:21" ht="30" customHeight="1" thickBot="1" x14ac:dyDescent="0.4">
      <c r="A1055" s="1522"/>
      <c r="B1055" s="1523"/>
      <c r="C1055" s="1523"/>
      <c r="D1055" s="1524"/>
      <c r="E1055" s="503"/>
      <c r="F1055" s="503"/>
      <c r="G1055" s="1366" t="s">
        <v>257</v>
      </c>
      <c r="H1055" s="1367"/>
      <c r="I1055" s="1368"/>
      <c r="J1055" s="560">
        <f>VLOOKUP(B1041,'Mil Cost Premiums for PUCs'!$A$4:$R$285,18,FALSE)</f>
        <v>1.0485669999999998</v>
      </c>
      <c r="K1055" s="193">
        <f>+K1054*J1055</f>
        <v>244429.32236685263</v>
      </c>
      <c r="L1055" s="186" t="s">
        <v>504</v>
      </c>
      <c r="M1055" s="50"/>
      <c r="N1055" s="50"/>
      <c r="O1055" s="5"/>
      <c r="P1055" s="9"/>
      <c r="Q1055" s="34"/>
      <c r="R1055" s="5"/>
      <c r="U1055" s="35"/>
    </row>
    <row r="1056" spans="1:21" ht="30" customHeight="1" thickBot="1" x14ac:dyDescent="0.4">
      <c r="A1056" s="1199"/>
      <c r="B1056" s="1200"/>
      <c r="C1056" s="1200"/>
      <c r="D1056" s="1200"/>
      <c r="E1056" s="1200"/>
      <c r="F1056" s="1200"/>
      <c r="G1056" s="1200"/>
      <c r="H1056" s="1200"/>
      <c r="I1056" s="1200"/>
      <c r="J1056" s="1200"/>
      <c r="K1056" s="1200"/>
      <c r="L1056" s="1201"/>
      <c r="M1056" s="50"/>
      <c r="N1056" s="50"/>
      <c r="O1056" s="5"/>
      <c r="P1056" s="9"/>
      <c r="Q1056" s="34"/>
      <c r="R1056" s="5"/>
      <c r="U1056" s="35"/>
    </row>
    <row r="1057" spans="1:21" ht="30" customHeight="1" x14ac:dyDescent="0.35">
      <c r="A1057" s="388" t="s">
        <v>1</v>
      </c>
      <c r="B1057" s="389">
        <v>1757</v>
      </c>
      <c r="C1057" s="1205" t="s">
        <v>549</v>
      </c>
      <c r="D1057" s="1206"/>
      <c r="E1057" s="392" t="s">
        <v>3</v>
      </c>
      <c r="F1057" s="393" t="s">
        <v>504</v>
      </c>
      <c r="G1057" s="394" t="s">
        <v>550</v>
      </c>
      <c r="H1057" s="728">
        <v>15</v>
      </c>
      <c r="I1057" s="392" t="s">
        <v>5</v>
      </c>
      <c r="J1057" s="1556" t="s">
        <v>3010</v>
      </c>
      <c r="K1057" s="1556"/>
      <c r="L1057" s="1557"/>
      <c r="M1057" s="50"/>
      <c r="N1057" s="50"/>
      <c r="O1057" s="797"/>
      <c r="P1057" s="9"/>
      <c r="Q1057" s="34"/>
      <c r="R1057" s="5"/>
      <c r="U1057" s="35"/>
    </row>
    <row r="1058" spans="1:21" ht="30" customHeight="1" x14ac:dyDescent="0.35">
      <c r="A1058" s="185" t="s">
        <v>506</v>
      </c>
      <c r="B1058" s="1280" t="s">
        <v>211</v>
      </c>
      <c r="C1058" s="1281"/>
      <c r="D1058" s="1282"/>
      <c r="E1058" s="566" t="s">
        <v>52</v>
      </c>
      <c r="F1058" s="566" t="s">
        <v>53</v>
      </c>
      <c r="G1058" s="1219" t="s">
        <v>54</v>
      </c>
      <c r="H1058" s="1220"/>
      <c r="I1058" s="185" t="s">
        <v>188</v>
      </c>
      <c r="J1058" s="632" t="s">
        <v>195</v>
      </c>
      <c r="K1058" s="1209" t="s">
        <v>180</v>
      </c>
      <c r="L1058" s="1210"/>
      <c r="M1058" s="50"/>
      <c r="N1058" s="50"/>
      <c r="O1058" s="797"/>
      <c r="P1058" s="9"/>
      <c r="Q1058" s="34"/>
      <c r="R1058" s="5"/>
      <c r="U1058" s="35"/>
    </row>
    <row r="1059" spans="1:21" ht="30" customHeight="1" x14ac:dyDescent="0.35">
      <c r="A1059" s="186" t="s">
        <v>465</v>
      </c>
      <c r="B1059" s="1212" t="s">
        <v>551</v>
      </c>
      <c r="C1059" s="1213"/>
      <c r="D1059" s="1214"/>
      <c r="E1059" s="202">
        <f>+Q910</f>
        <v>11.775</v>
      </c>
      <c r="F1059" s="186" t="s">
        <v>108</v>
      </c>
      <c r="G1059" s="127">
        <f>8*62</f>
        <v>496</v>
      </c>
      <c r="H1059" s="714" t="s">
        <v>508</v>
      </c>
      <c r="I1059" s="204">
        <f>+S910</f>
        <v>1.07</v>
      </c>
      <c r="J1059" s="204">
        <f>+T910</f>
        <v>0.98130841121495327</v>
      </c>
      <c r="K1059" s="194">
        <f>+E1059*G1059*I1059*J1059</f>
        <v>6132.420000000001</v>
      </c>
      <c r="L1059" s="186" t="s">
        <v>504</v>
      </c>
      <c r="M1059" s="50"/>
      <c r="N1059" s="50"/>
      <c r="O1059" s="797"/>
      <c r="P1059" s="9"/>
      <c r="Q1059" s="34"/>
      <c r="R1059" s="5"/>
      <c r="U1059" s="35"/>
    </row>
    <row r="1060" spans="1:21" ht="30" customHeight="1" x14ac:dyDescent="0.35">
      <c r="A1060" s="186" t="s">
        <v>193</v>
      </c>
      <c r="B1060" s="1212" t="s">
        <v>470</v>
      </c>
      <c r="C1060" s="1213"/>
      <c r="D1060" s="1214"/>
      <c r="E1060" s="202">
        <f>+Q914</f>
        <v>665</v>
      </c>
      <c r="F1060" s="127" t="s">
        <v>40</v>
      </c>
      <c r="G1060" s="127">
        <v>8</v>
      </c>
      <c r="H1060" s="714" t="s">
        <v>509</v>
      </c>
      <c r="I1060" s="204">
        <f>+S914</f>
        <v>1.01</v>
      </c>
      <c r="J1060" s="204">
        <f>+T914</f>
        <v>0.98130841121495327</v>
      </c>
      <c r="K1060" s="194">
        <f>+E1060*G1060*I1060*J1060</f>
        <v>5272.7663551401865</v>
      </c>
      <c r="L1060" s="186" t="s">
        <v>504</v>
      </c>
      <c r="M1060" s="50"/>
      <c r="N1060" s="50"/>
      <c r="O1060" s="797"/>
      <c r="P1060" s="9"/>
      <c r="Q1060" s="34"/>
      <c r="R1060" s="5"/>
      <c r="U1060" s="35"/>
    </row>
    <row r="1061" spans="1:21" ht="30" customHeight="1" x14ac:dyDescent="0.35">
      <c r="A1061" s="186" t="s">
        <v>193</v>
      </c>
      <c r="B1061" s="1212" t="s">
        <v>475</v>
      </c>
      <c r="C1061" s="1213"/>
      <c r="D1061" s="1214"/>
      <c r="E1061" s="202">
        <f>+Q916</f>
        <v>478.5</v>
      </c>
      <c r="F1061" s="127" t="s">
        <v>40</v>
      </c>
      <c r="G1061" s="127">
        <v>8</v>
      </c>
      <c r="H1061" s="714" t="s">
        <v>509</v>
      </c>
      <c r="I1061" s="204">
        <f>+S916</f>
        <v>1.01</v>
      </c>
      <c r="J1061" s="204">
        <f>+T916</f>
        <v>0.98130841121495327</v>
      </c>
      <c r="K1061" s="194">
        <f>+E1061*G1061*I1061*J1061</f>
        <v>3794.0130841121495</v>
      </c>
      <c r="L1061" s="186" t="s">
        <v>504</v>
      </c>
      <c r="M1061" s="50"/>
      <c r="N1061" s="50"/>
      <c r="O1061" s="5"/>
      <c r="P1061" s="9"/>
      <c r="Q1061" s="34"/>
      <c r="R1061" s="5"/>
      <c r="U1061" s="35"/>
    </row>
    <row r="1062" spans="1:21" ht="30" customHeight="1" x14ac:dyDescent="0.35">
      <c r="A1062" s="186" t="s">
        <v>477</v>
      </c>
      <c r="B1062" s="1212" t="s">
        <v>478</v>
      </c>
      <c r="C1062" s="1213"/>
      <c r="D1062" s="1214"/>
      <c r="E1062" s="202">
        <f>+Q918</f>
        <v>207.9</v>
      </c>
      <c r="F1062" s="127" t="s">
        <v>40</v>
      </c>
      <c r="G1062" s="127">
        <v>32</v>
      </c>
      <c r="H1062" s="714" t="s">
        <v>509</v>
      </c>
      <c r="I1062" s="204">
        <f>+S918</f>
        <v>1.01</v>
      </c>
      <c r="J1062" s="204">
        <f>+T918</f>
        <v>0.98130841121495327</v>
      </c>
      <c r="K1062" s="194">
        <f>+E1062*G1062*I1062*J1062</f>
        <v>6593.7330841121502</v>
      </c>
      <c r="L1062" s="186" t="s">
        <v>504</v>
      </c>
      <c r="M1062" s="50"/>
      <c r="N1062" s="50"/>
      <c r="O1062" s="5"/>
      <c r="P1062" s="9"/>
      <c r="Q1062" s="34"/>
      <c r="R1062" s="5"/>
      <c r="U1062" s="35"/>
    </row>
    <row r="1063" spans="1:21" ht="30" customHeight="1" x14ac:dyDescent="0.35">
      <c r="A1063" s="186" t="s">
        <v>479</v>
      </c>
      <c r="B1063" s="1212" t="s">
        <v>552</v>
      </c>
      <c r="C1063" s="1213"/>
      <c r="D1063" s="1214"/>
      <c r="E1063" s="202">
        <f>+Q919</f>
        <v>25.849999999999998</v>
      </c>
      <c r="F1063" s="127" t="s">
        <v>28</v>
      </c>
      <c r="G1063" s="127">
        <f>8*101</f>
        <v>808</v>
      </c>
      <c r="H1063" s="714" t="s">
        <v>511</v>
      </c>
      <c r="I1063" s="204">
        <f>+S919</f>
        <v>1.01</v>
      </c>
      <c r="J1063" s="204">
        <f>+T919</f>
        <v>0.98130841121495327</v>
      </c>
      <c r="K1063" s="194">
        <f>+E1063*G1063*I1063*J1063</f>
        <v>20701.35644859813</v>
      </c>
      <c r="L1063" s="186" t="s">
        <v>504</v>
      </c>
      <c r="M1063" s="50"/>
      <c r="N1063" s="50"/>
      <c r="O1063" s="5"/>
      <c r="P1063" s="9"/>
      <c r="Q1063" s="34"/>
      <c r="R1063" s="5"/>
      <c r="U1063" s="35"/>
    </row>
    <row r="1064" spans="1:21" ht="30" customHeight="1" x14ac:dyDescent="0.35">
      <c r="A1064" s="186">
        <v>93210</v>
      </c>
      <c r="B1064" s="1212" t="s">
        <v>553</v>
      </c>
      <c r="C1064" s="1213"/>
      <c r="D1064" s="1214"/>
      <c r="E1064" s="202">
        <f>+Q930</f>
        <v>149.81</v>
      </c>
      <c r="F1064" s="127" t="s">
        <v>16</v>
      </c>
      <c r="G1064" s="715">
        <v>27.8125</v>
      </c>
      <c r="H1064" s="714" t="s">
        <v>514</v>
      </c>
      <c r="I1064" s="224">
        <f>+S930</f>
        <v>0.93863689284411045</v>
      </c>
      <c r="J1064" s="186"/>
      <c r="K1064" s="194">
        <f>+E1064*G1064*I1064</f>
        <v>3910.9156780034</v>
      </c>
      <c r="L1064" s="186" t="s">
        <v>504</v>
      </c>
      <c r="M1064" s="50"/>
      <c r="N1064" s="50"/>
      <c r="O1064" s="5"/>
      <c r="P1064" s="9"/>
      <c r="Q1064" s="34"/>
      <c r="R1064" s="5"/>
      <c r="U1064" s="35"/>
    </row>
    <row r="1065" spans="1:21" ht="30" customHeight="1" x14ac:dyDescent="0.35">
      <c r="A1065" s="186">
        <v>93410</v>
      </c>
      <c r="B1065" s="1212" t="s">
        <v>554</v>
      </c>
      <c r="C1065" s="1213"/>
      <c r="D1065" s="1214"/>
      <c r="E1065" s="202">
        <f>+Q928</f>
        <v>11.54</v>
      </c>
      <c r="F1065" s="127" t="s">
        <v>16</v>
      </c>
      <c r="G1065" s="715">
        <f>2.61*8</f>
        <v>20.88</v>
      </c>
      <c r="H1065" s="714" t="s">
        <v>514</v>
      </c>
      <c r="I1065" s="224">
        <f>+S928</f>
        <v>0.93863689284411045</v>
      </c>
      <c r="J1065" s="186"/>
      <c r="K1065" s="194">
        <f>+E1065*G1065*I1065</f>
        <v>226.16944024263117</v>
      </c>
      <c r="L1065" s="186" t="s">
        <v>504</v>
      </c>
      <c r="M1065" s="50"/>
      <c r="N1065" s="50"/>
      <c r="O1065" s="5"/>
      <c r="P1065" s="9"/>
      <c r="Q1065" s="34"/>
      <c r="R1065" s="5"/>
      <c r="U1065" s="35"/>
    </row>
    <row r="1066" spans="1:21" ht="30" customHeight="1" x14ac:dyDescent="0.35">
      <c r="A1066" s="1511" t="s">
        <v>3028</v>
      </c>
      <c r="B1066" s="1521"/>
      <c r="C1066" s="1521"/>
      <c r="D1066" s="1237"/>
      <c r="E1066" s="194"/>
      <c r="F1066" s="186"/>
      <c r="G1066" s="503"/>
      <c r="H1066" s="534"/>
      <c r="I1066" s="186"/>
      <c r="J1066" s="186" t="s">
        <v>251</v>
      </c>
      <c r="K1066" s="194">
        <f>SUM(K1059:K1065)</f>
        <v>46631.37409020865</v>
      </c>
      <c r="L1066" s="186" t="s">
        <v>504</v>
      </c>
      <c r="M1066" s="60"/>
      <c r="N1066" s="50"/>
      <c r="O1066" s="5"/>
      <c r="P1066" s="9"/>
      <c r="Q1066" s="34"/>
      <c r="R1066" s="5"/>
      <c r="U1066" s="35"/>
    </row>
    <row r="1067" spans="1:21" ht="30" customHeight="1" thickBot="1" x14ac:dyDescent="0.4">
      <c r="A1067" s="1522"/>
      <c r="B1067" s="1523"/>
      <c r="C1067" s="1523"/>
      <c r="D1067" s="1524"/>
      <c r="E1067" s="503"/>
      <c r="F1067" s="503"/>
      <c r="G1067" s="1366" t="s">
        <v>257</v>
      </c>
      <c r="H1067" s="1367"/>
      <c r="I1067" s="1368"/>
      <c r="J1067" s="560">
        <f>VLOOKUP(B1057,'Mil Cost Premiums for PUCs'!$A$4:$R$285,18,FALSE)</f>
        <v>1.0485669999999998</v>
      </c>
      <c r="K1067" s="193">
        <f>+K1066*J1067</f>
        <v>48896.120035647808</v>
      </c>
      <c r="L1067" s="186" t="s">
        <v>504</v>
      </c>
      <c r="M1067" s="837"/>
      <c r="N1067" s="50"/>
      <c r="O1067" s="5"/>
      <c r="P1067" s="9"/>
      <c r="Q1067" s="34"/>
      <c r="R1067" s="5"/>
      <c r="U1067" s="35"/>
    </row>
    <row r="1068" spans="1:21" ht="30" customHeight="1" thickBot="1" x14ac:dyDescent="0.4">
      <c r="A1068" s="1199"/>
      <c r="B1068" s="1200"/>
      <c r="C1068" s="1200"/>
      <c r="D1068" s="1200"/>
      <c r="E1068" s="1200"/>
      <c r="F1068" s="1200"/>
      <c r="G1068" s="1200"/>
      <c r="H1068" s="1200"/>
      <c r="I1068" s="1200"/>
      <c r="J1068" s="1200"/>
      <c r="K1068" s="1200"/>
      <c r="L1068" s="1201"/>
      <c r="M1068" s="50"/>
      <c r="N1068" s="50"/>
      <c r="O1068" s="5"/>
      <c r="P1068" s="9"/>
      <c r="Q1068" s="34"/>
      <c r="R1068" s="5"/>
      <c r="U1068" s="35"/>
    </row>
    <row r="1069" spans="1:21" ht="30" customHeight="1" x14ac:dyDescent="0.35">
      <c r="A1069" s="388" t="s">
        <v>1</v>
      </c>
      <c r="B1069" s="389">
        <v>1758</v>
      </c>
      <c r="C1069" s="1205" t="s">
        <v>555</v>
      </c>
      <c r="D1069" s="1206"/>
      <c r="E1069" s="392" t="s">
        <v>3</v>
      </c>
      <c r="F1069" s="393" t="s">
        <v>504</v>
      </c>
      <c r="G1069" s="394" t="s">
        <v>556</v>
      </c>
      <c r="H1069" s="728">
        <v>10</v>
      </c>
      <c r="I1069" s="392" t="s">
        <v>5</v>
      </c>
      <c r="J1069" s="1556" t="s">
        <v>3010</v>
      </c>
      <c r="K1069" s="1556"/>
      <c r="L1069" s="1557"/>
      <c r="M1069" s="50"/>
      <c r="N1069" s="50"/>
      <c r="O1069" s="5"/>
      <c r="P1069" s="9"/>
      <c r="Q1069" s="34"/>
      <c r="R1069" s="5"/>
      <c r="U1069" s="35"/>
    </row>
    <row r="1070" spans="1:21" ht="30" customHeight="1" x14ac:dyDescent="0.35">
      <c r="A1070" s="185" t="s">
        <v>506</v>
      </c>
      <c r="B1070" s="1280" t="s">
        <v>211</v>
      </c>
      <c r="C1070" s="1281"/>
      <c r="D1070" s="1282"/>
      <c r="E1070" s="566" t="s">
        <v>52</v>
      </c>
      <c r="F1070" s="566" t="s">
        <v>53</v>
      </c>
      <c r="G1070" s="1219" t="s">
        <v>54</v>
      </c>
      <c r="H1070" s="1220"/>
      <c r="I1070" s="185" t="s">
        <v>188</v>
      </c>
      <c r="J1070" s="632" t="s">
        <v>195</v>
      </c>
      <c r="K1070" s="1209" t="s">
        <v>180</v>
      </c>
      <c r="L1070" s="1210"/>
      <c r="M1070" s="50"/>
      <c r="N1070" s="50"/>
      <c r="O1070" s="5"/>
      <c r="P1070" s="9"/>
      <c r="Q1070" s="34"/>
      <c r="R1070" s="5"/>
      <c r="U1070" s="35"/>
    </row>
    <row r="1071" spans="1:21" ht="30" customHeight="1" x14ac:dyDescent="0.35">
      <c r="A1071" s="185"/>
      <c r="B1071" s="1264" t="s">
        <v>557</v>
      </c>
      <c r="C1071" s="1264"/>
      <c r="D1071" s="1264"/>
      <c r="E1071" s="566"/>
      <c r="F1071" s="566"/>
      <c r="G1071" s="459"/>
      <c r="H1071" s="460"/>
      <c r="I1071" s="672"/>
      <c r="J1071" s="672"/>
      <c r="K1071" s="566"/>
      <c r="L1071" s="566"/>
      <c r="M1071" s="50"/>
      <c r="N1071" s="50"/>
      <c r="O1071" s="5"/>
      <c r="P1071" s="9"/>
      <c r="Q1071" s="34"/>
      <c r="R1071" s="5"/>
      <c r="U1071" s="35"/>
    </row>
    <row r="1072" spans="1:21" ht="30" customHeight="1" x14ac:dyDescent="0.35">
      <c r="A1072" s="186" t="s">
        <v>465</v>
      </c>
      <c r="B1072" s="1264" t="s">
        <v>558</v>
      </c>
      <c r="C1072" s="1264"/>
      <c r="D1072" s="1264"/>
      <c r="E1072" s="202">
        <f>+Q910</f>
        <v>11.775</v>
      </c>
      <c r="F1072" s="186" t="s">
        <v>108</v>
      </c>
      <c r="G1072" s="788">
        <f>3*62</f>
        <v>186</v>
      </c>
      <c r="H1072" s="714" t="s">
        <v>508</v>
      </c>
      <c r="I1072" s="204">
        <f>+S910</f>
        <v>1.07</v>
      </c>
      <c r="J1072" s="204">
        <f>+T910</f>
        <v>0.98130841121495327</v>
      </c>
      <c r="K1072" s="194">
        <f t="shared" ref="K1072:K1082" si="11">+E1072*G1072*I1072*J1072</f>
        <v>2299.6575000000003</v>
      </c>
      <c r="L1072" s="186" t="s">
        <v>504</v>
      </c>
      <c r="M1072" s="50"/>
      <c r="N1072" s="50"/>
      <c r="O1072" s="5"/>
      <c r="P1072" s="9"/>
      <c r="Q1072" s="34"/>
      <c r="R1072" s="5"/>
      <c r="U1072" s="35"/>
    </row>
    <row r="1073" spans="1:21" ht="30" customHeight="1" x14ac:dyDescent="0.35">
      <c r="A1073" s="186" t="s">
        <v>465</v>
      </c>
      <c r="B1073" s="1264" t="s">
        <v>559</v>
      </c>
      <c r="C1073" s="1264"/>
      <c r="D1073" s="1264"/>
      <c r="E1073" s="202">
        <f>+Q910</f>
        <v>11.775</v>
      </c>
      <c r="F1073" s="186" t="s">
        <v>108</v>
      </c>
      <c r="G1073" s="788">
        <f>5*94</f>
        <v>470</v>
      </c>
      <c r="H1073" s="714" t="s">
        <v>508</v>
      </c>
      <c r="I1073" s="204">
        <f t="shared" ref="I1073:J1075" si="12">+S910</f>
        <v>1.07</v>
      </c>
      <c r="J1073" s="204">
        <f t="shared" si="12"/>
        <v>0.98130841121495327</v>
      </c>
      <c r="K1073" s="194">
        <f t="shared" si="11"/>
        <v>5810.9624999999996</v>
      </c>
      <c r="L1073" s="186" t="s">
        <v>504</v>
      </c>
      <c r="M1073" s="50"/>
      <c r="N1073" s="50"/>
      <c r="O1073" s="5"/>
      <c r="P1073" s="9"/>
      <c r="Q1073" s="34"/>
      <c r="R1073" s="5"/>
      <c r="U1073" s="35"/>
    </row>
    <row r="1074" spans="1:21" ht="30" customHeight="1" x14ac:dyDescent="0.35">
      <c r="A1074" s="186" t="s">
        <v>465</v>
      </c>
      <c r="B1074" s="1264" t="s">
        <v>560</v>
      </c>
      <c r="C1074" s="1264"/>
      <c r="D1074" s="1264"/>
      <c r="E1074" s="202">
        <f>+Q911</f>
        <v>14.375</v>
      </c>
      <c r="F1074" s="186" t="s">
        <v>108</v>
      </c>
      <c r="G1074" s="788">
        <f>2*468</f>
        <v>936</v>
      </c>
      <c r="H1074" s="714" t="s">
        <v>508</v>
      </c>
      <c r="I1074" s="204">
        <f t="shared" si="12"/>
        <v>1.07</v>
      </c>
      <c r="J1074" s="204">
        <f t="shared" si="12"/>
        <v>0.98130841121495327</v>
      </c>
      <c r="K1074" s="194">
        <f t="shared" si="11"/>
        <v>14127.75</v>
      </c>
      <c r="L1074" s="186" t="s">
        <v>504</v>
      </c>
      <c r="M1074" s="95"/>
      <c r="N1074" s="50"/>
      <c r="O1074" s="5"/>
      <c r="P1074" s="9"/>
      <c r="Q1074" s="34"/>
      <c r="R1074" s="5"/>
      <c r="U1074" s="35"/>
    </row>
    <row r="1075" spans="1:21" ht="30" customHeight="1" x14ac:dyDescent="0.35">
      <c r="A1075" s="186" t="s">
        <v>345</v>
      </c>
      <c r="B1075" s="1264" t="s">
        <v>561</v>
      </c>
      <c r="C1075" s="1264"/>
      <c r="D1075" s="1264"/>
      <c r="E1075" s="202">
        <f>+Q912</f>
        <v>22.25</v>
      </c>
      <c r="F1075" s="186" t="s">
        <v>108</v>
      </c>
      <c r="G1075" s="839">
        <f>80.7*2</f>
        <v>161.4</v>
      </c>
      <c r="H1075" s="714" t="s">
        <v>508</v>
      </c>
      <c r="I1075" s="204">
        <f t="shared" si="12"/>
        <v>0.95</v>
      </c>
      <c r="J1075" s="204">
        <f t="shared" si="12"/>
        <v>0.98130841121495327</v>
      </c>
      <c r="K1075" s="194">
        <f t="shared" si="11"/>
        <v>3347.8244158878501</v>
      </c>
      <c r="L1075" s="186" t="s">
        <v>504</v>
      </c>
      <c r="O1075" s="5"/>
      <c r="P1075" s="9"/>
      <c r="Q1075" s="34"/>
      <c r="R1075" s="5"/>
      <c r="U1075" s="35"/>
    </row>
    <row r="1076" spans="1:21" ht="30" customHeight="1" x14ac:dyDescent="0.35">
      <c r="A1076" s="186" t="s">
        <v>193</v>
      </c>
      <c r="B1076" s="1264" t="s">
        <v>473</v>
      </c>
      <c r="C1076" s="1264"/>
      <c r="D1076" s="1264"/>
      <c r="E1076" s="202">
        <f>+Q915</f>
        <v>1207.5</v>
      </c>
      <c r="F1076" s="127" t="s">
        <v>40</v>
      </c>
      <c r="G1076" s="788">
        <v>12</v>
      </c>
      <c r="H1076" s="714" t="s">
        <v>509</v>
      </c>
      <c r="I1076" s="204">
        <f>+S915</f>
        <v>1.01</v>
      </c>
      <c r="J1076" s="204">
        <f>+T915</f>
        <v>0.98130841121495327</v>
      </c>
      <c r="K1076" s="194">
        <f t="shared" si="11"/>
        <v>14361.35046728972</v>
      </c>
      <c r="L1076" s="186" t="s">
        <v>504</v>
      </c>
      <c r="M1076" s="50"/>
      <c r="N1076" s="50"/>
      <c r="O1076" s="5"/>
      <c r="P1076" s="9"/>
      <c r="Q1076" s="34"/>
      <c r="R1076" s="5"/>
      <c r="U1076" s="35"/>
    </row>
    <row r="1077" spans="1:21" ht="30" customHeight="1" x14ac:dyDescent="0.35">
      <c r="A1077" s="186" t="s">
        <v>333</v>
      </c>
      <c r="B1077" s="1264" t="s">
        <v>482</v>
      </c>
      <c r="C1077" s="1264"/>
      <c r="D1077" s="1264"/>
      <c r="E1077" s="202">
        <f>+Q921</f>
        <v>25.875</v>
      </c>
      <c r="F1077" s="127" t="s">
        <v>28</v>
      </c>
      <c r="G1077" s="788">
        <f>2*50</f>
        <v>100</v>
      </c>
      <c r="H1077" s="714" t="s">
        <v>511</v>
      </c>
      <c r="I1077" s="204">
        <f>+S921</f>
        <v>1.01</v>
      </c>
      <c r="J1077" s="204">
        <f>+T921</f>
        <v>0.98130841121495327</v>
      </c>
      <c r="K1077" s="194">
        <f t="shared" si="11"/>
        <v>2564.5268691588785</v>
      </c>
      <c r="L1077" s="186" t="s">
        <v>504</v>
      </c>
      <c r="M1077" s="50"/>
      <c r="N1077" s="50"/>
      <c r="O1077" s="5"/>
      <c r="P1077" s="9"/>
      <c r="Q1077" s="34"/>
      <c r="R1077" s="5"/>
      <c r="U1077" s="35"/>
    </row>
    <row r="1078" spans="1:21" ht="30" customHeight="1" x14ac:dyDescent="0.35">
      <c r="A1078" s="186" t="s">
        <v>333</v>
      </c>
      <c r="B1078" s="1264" t="s">
        <v>544</v>
      </c>
      <c r="C1078" s="1264"/>
      <c r="D1078" s="1264"/>
      <c r="E1078" s="202">
        <f>+Q922</f>
        <v>3960</v>
      </c>
      <c r="F1078" s="127" t="s">
        <v>40</v>
      </c>
      <c r="G1078" s="788">
        <v>2</v>
      </c>
      <c r="H1078" s="714" t="s">
        <v>517</v>
      </c>
      <c r="I1078" s="204">
        <f>+S922</f>
        <v>1.01</v>
      </c>
      <c r="J1078" s="204">
        <f>+T922</f>
        <v>0.98130841121495327</v>
      </c>
      <c r="K1078" s="194">
        <f t="shared" si="11"/>
        <v>7849.6822429906542</v>
      </c>
      <c r="L1078" s="186" t="s">
        <v>504</v>
      </c>
      <c r="M1078" s="50"/>
      <c r="N1078" s="50"/>
      <c r="O1078" s="5"/>
      <c r="P1078" s="9"/>
      <c r="Q1078" s="34"/>
      <c r="R1078" s="5"/>
      <c r="U1078" s="35"/>
    </row>
    <row r="1079" spans="1:21" ht="30" customHeight="1" x14ac:dyDescent="0.35">
      <c r="A1079" s="186" t="s">
        <v>193</v>
      </c>
      <c r="B1079" s="1264" t="s">
        <v>562</v>
      </c>
      <c r="C1079" s="1264"/>
      <c r="D1079" s="1264"/>
      <c r="E1079" s="202">
        <f>+Q917</f>
        <v>1485</v>
      </c>
      <c r="F1079" s="127" t="s">
        <v>40</v>
      </c>
      <c r="G1079" s="788">
        <v>12</v>
      </c>
      <c r="H1079" s="714" t="s">
        <v>509</v>
      </c>
      <c r="I1079" s="204">
        <f t="shared" ref="I1079:J1081" si="13">+S917</f>
        <v>1.01</v>
      </c>
      <c r="J1079" s="204">
        <f t="shared" si="13"/>
        <v>0.98130841121495327</v>
      </c>
      <c r="K1079" s="194">
        <f t="shared" si="11"/>
        <v>17661.785046728972</v>
      </c>
      <c r="L1079" s="186" t="s">
        <v>504</v>
      </c>
      <c r="M1079" s="50"/>
      <c r="N1079" s="50"/>
      <c r="O1079" s="795"/>
      <c r="P1079" s="9"/>
      <c r="Q1079" s="34"/>
      <c r="R1079" s="5"/>
      <c r="U1079" s="35"/>
    </row>
    <row r="1080" spans="1:21" ht="30" customHeight="1" x14ac:dyDescent="0.35">
      <c r="A1080" s="186" t="s">
        <v>477</v>
      </c>
      <c r="B1080" s="1264" t="s">
        <v>563</v>
      </c>
      <c r="C1080" s="1264"/>
      <c r="D1080" s="1264"/>
      <c r="E1080" s="202">
        <f>+Q918</f>
        <v>207.9</v>
      </c>
      <c r="F1080" s="127" t="s">
        <v>40</v>
      </c>
      <c r="G1080" s="788">
        <f>5*12</f>
        <v>60</v>
      </c>
      <c r="H1080" s="714" t="s">
        <v>509</v>
      </c>
      <c r="I1080" s="204">
        <f t="shared" si="13"/>
        <v>1.01</v>
      </c>
      <c r="J1080" s="204">
        <f t="shared" si="13"/>
        <v>0.98130841121495327</v>
      </c>
      <c r="K1080" s="194">
        <f t="shared" si="11"/>
        <v>12363.249532710281</v>
      </c>
      <c r="L1080" s="186" t="s">
        <v>504</v>
      </c>
      <c r="M1080" s="50"/>
      <c r="N1080" s="50"/>
      <c r="O1080" s="5"/>
      <c r="P1080" s="9"/>
      <c r="Q1080" s="34"/>
      <c r="R1080" s="5"/>
      <c r="U1080" s="35"/>
    </row>
    <row r="1081" spans="1:21" ht="30" customHeight="1" x14ac:dyDescent="0.35">
      <c r="A1081" s="186" t="s">
        <v>479</v>
      </c>
      <c r="B1081" s="1212" t="s">
        <v>564</v>
      </c>
      <c r="C1081" s="1213"/>
      <c r="D1081" s="1214"/>
      <c r="E1081" s="202">
        <f>+Q919</f>
        <v>25.849999999999998</v>
      </c>
      <c r="F1081" s="127" t="s">
        <v>28</v>
      </c>
      <c r="G1081" s="788">
        <v>2961</v>
      </c>
      <c r="H1081" s="714" t="s">
        <v>511</v>
      </c>
      <c r="I1081" s="204">
        <f t="shared" si="13"/>
        <v>1.01</v>
      </c>
      <c r="J1081" s="204">
        <f t="shared" si="13"/>
        <v>0.98130841121495327</v>
      </c>
      <c r="K1081" s="194">
        <f t="shared" si="11"/>
        <v>75862.272827102788</v>
      </c>
      <c r="L1081" s="186" t="s">
        <v>504</v>
      </c>
      <c r="M1081" s="50"/>
      <c r="N1081" s="50"/>
      <c r="O1081" s="5"/>
      <c r="P1081" s="9"/>
      <c r="Q1081" s="34"/>
      <c r="R1081" s="5"/>
      <c r="U1081" s="35"/>
    </row>
    <row r="1082" spans="1:21" ht="30" customHeight="1" x14ac:dyDescent="0.35">
      <c r="A1082" s="186" t="s">
        <v>221</v>
      </c>
      <c r="B1082" s="1212" t="s">
        <v>547</v>
      </c>
      <c r="C1082" s="1213"/>
      <c r="D1082" s="1214"/>
      <c r="E1082" s="201">
        <f>+Q913</f>
        <v>6.6549999999999994</v>
      </c>
      <c r="F1082" s="127" t="s">
        <v>108</v>
      </c>
      <c r="G1082" s="788">
        <f>32*9</f>
        <v>288</v>
      </c>
      <c r="H1082" s="714" t="s">
        <v>508</v>
      </c>
      <c r="I1082" s="204">
        <f>+S909</f>
        <v>1.1000000000000001</v>
      </c>
      <c r="J1082" s="204">
        <f>+T913</f>
        <v>0.98130841121495327</v>
      </c>
      <c r="K1082" s="194">
        <f t="shared" si="11"/>
        <v>2068.896448598131</v>
      </c>
      <c r="L1082" s="186" t="s">
        <v>504</v>
      </c>
      <c r="M1082" s="50"/>
      <c r="N1082" s="50"/>
      <c r="O1082" s="5"/>
      <c r="P1082" s="9"/>
      <c r="Q1082" s="34"/>
      <c r="R1082" s="5"/>
      <c r="U1082" s="35"/>
    </row>
    <row r="1083" spans="1:21" ht="30" customHeight="1" x14ac:dyDescent="0.35">
      <c r="A1083" s="186">
        <v>93410</v>
      </c>
      <c r="B1083" s="1212" t="s">
        <v>565</v>
      </c>
      <c r="C1083" s="1213"/>
      <c r="D1083" s="1214"/>
      <c r="E1083" s="202">
        <f>+Q928</f>
        <v>11.54</v>
      </c>
      <c r="F1083" s="127" t="s">
        <v>16</v>
      </c>
      <c r="G1083" s="839">
        <v>39.200000000000003</v>
      </c>
      <c r="H1083" s="714" t="s">
        <v>514</v>
      </c>
      <c r="I1083" s="224">
        <f>+S928</f>
        <v>0.93863689284411045</v>
      </c>
      <c r="J1083" s="204"/>
      <c r="K1083" s="194">
        <f>+E1083*G1083*I1083</f>
        <v>424.60929394210456</v>
      </c>
      <c r="L1083" s="186" t="s">
        <v>504</v>
      </c>
      <c r="M1083" s="95"/>
      <c r="N1083" s="50"/>
      <c r="O1083" s="5"/>
      <c r="P1083" s="9"/>
      <c r="Q1083" s="34"/>
      <c r="R1083" s="5"/>
      <c r="U1083" s="35"/>
    </row>
    <row r="1084" spans="1:21" ht="30" customHeight="1" x14ac:dyDescent="0.35">
      <c r="A1084" s="186">
        <v>93210</v>
      </c>
      <c r="B1084" s="1212" t="s">
        <v>566</v>
      </c>
      <c r="C1084" s="1213"/>
      <c r="D1084" s="1214"/>
      <c r="E1084" s="202">
        <f>+Q930</f>
        <v>149.81</v>
      </c>
      <c r="F1084" s="127" t="s">
        <v>16</v>
      </c>
      <c r="G1084" s="839">
        <v>3.9</v>
      </c>
      <c r="H1084" s="714" t="s">
        <v>514</v>
      </c>
      <c r="I1084" s="224">
        <f>+S930</f>
        <v>0.93863689284411045</v>
      </c>
      <c r="J1084" s="204"/>
      <c r="K1084" s="194">
        <f>+E1084*G1084*I1084</f>
        <v>548.40705237620716</v>
      </c>
      <c r="L1084" s="186" t="s">
        <v>504</v>
      </c>
      <c r="N1084" s="50"/>
      <c r="O1084" s="5"/>
      <c r="P1084" s="9"/>
      <c r="Q1084" s="34"/>
      <c r="R1084" s="5"/>
      <c r="U1084" s="35"/>
    </row>
    <row r="1085" spans="1:21" ht="30" customHeight="1" x14ac:dyDescent="0.35">
      <c r="A1085" s="1511" t="s">
        <v>3028</v>
      </c>
      <c r="B1085" s="1521"/>
      <c r="C1085" s="1521"/>
      <c r="D1085" s="1237"/>
      <c r="E1085" s="194"/>
      <c r="F1085" s="186"/>
      <c r="G1085" s="503"/>
      <c r="H1085" s="534"/>
      <c r="I1085" s="186"/>
      <c r="J1085" s="186" t="s">
        <v>251</v>
      </c>
      <c r="K1085" s="194">
        <f>SUM(K1072:K1084)</f>
        <v>159290.9741967856</v>
      </c>
      <c r="L1085" s="186" t="s">
        <v>504</v>
      </c>
      <c r="M1085" s="50"/>
      <c r="N1085" s="50"/>
      <c r="O1085" s="5"/>
      <c r="P1085" s="9"/>
      <c r="Q1085" s="34"/>
      <c r="R1085" s="5"/>
      <c r="U1085" s="35"/>
    </row>
    <row r="1086" spans="1:21" ht="30" customHeight="1" thickBot="1" x14ac:dyDescent="0.4">
      <c r="A1086" s="1522"/>
      <c r="B1086" s="1523"/>
      <c r="C1086" s="1523"/>
      <c r="D1086" s="1524"/>
      <c r="E1086" s="503"/>
      <c r="F1086" s="503"/>
      <c r="G1086" s="1366" t="s">
        <v>257</v>
      </c>
      <c r="H1086" s="1367"/>
      <c r="I1086" s="1368"/>
      <c r="J1086" s="560">
        <f>VLOOKUP(B1069,'Mil Cost Premiums for PUCs'!$A$4:$R$285,18,FALSE)</f>
        <v>1.0485669999999998</v>
      </c>
      <c r="K1086" s="193">
        <f>+K1085*J1086</f>
        <v>167027.25894060085</v>
      </c>
      <c r="L1086" s="186" t="s">
        <v>504</v>
      </c>
      <c r="M1086" s="50"/>
      <c r="N1086" s="50"/>
      <c r="O1086" s="5"/>
      <c r="P1086" s="9"/>
      <c r="Q1086" s="34"/>
      <c r="R1086" s="5"/>
      <c r="U1086" s="35"/>
    </row>
    <row r="1087" spans="1:21" ht="30" customHeight="1" thickBot="1" x14ac:dyDescent="0.4">
      <c r="A1087" s="1199"/>
      <c r="B1087" s="1200"/>
      <c r="C1087" s="1200"/>
      <c r="D1087" s="1200"/>
      <c r="E1087" s="1200"/>
      <c r="F1087" s="1200"/>
      <c r="G1087" s="1200"/>
      <c r="H1087" s="1200"/>
      <c r="I1087" s="1200"/>
      <c r="J1087" s="1200"/>
      <c r="K1087" s="1200"/>
      <c r="L1087" s="1201"/>
      <c r="M1087" s="50"/>
      <c r="N1087" s="50"/>
      <c r="O1087" s="5"/>
      <c r="P1087" s="9"/>
      <c r="Q1087" s="34"/>
      <c r="R1087" s="5"/>
      <c r="U1087" s="35"/>
    </row>
    <row r="1088" spans="1:21" ht="30" customHeight="1" x14ac:dyDescent="0.35">
      <c r="A1088" s="388" t="s">
        <v>1</v>
      </c>
      <c r="B1088" s="389">
        <v>1760</v>
      </c>
      <c r="C1088" s="1288" t="s">
        <v>567</v>
      </c>
      <c r="D1088" s="1289"/>
      <c r="E1088" s="392" t="s">
        <v>3</v>
      </c>
      <c r="F1088" s="545" t="s">
        <v>504</v>
      </c>
      <c r="G1088" s="394" t="s">
        <v>505</v>
      </c>
      <c r="H1088" s="728">
        <v>4</v>
      </c>
      <c r="I1088" s="392" t="s">
        <v>5</v>
      </c>
      <c r="J1088" s="1556" t="s">
        <v>3010</v>
      </c>
      <c r="K1088" s="1556"/>
      <c r="L1088" s="1557"/>
      <c r="M1088" s="50"/>
      <c r="N1088" s="50"/>
      <c r="O1088" s="5"/>
      <c r="P1088" s="9"/>
      <c r="Q1088" s="34"/>
      <c r="R1088" s="5"/>
      <c r="U1088" s="35"/>
    </row>
    <row r="1089" spans="1:21" ht="30" customHeight="1" x14ac:dyDescent="0.35">
      <c r="A1089" s="185" t="s">
        <v>506</v>
      </c>
      <c r="B1089" s="1280" t="s">
        <v>211</v>
      </c>
      <c r="C1089" s="1281"/>
      <c r="D1089" s="1282"/>
      <c r="E1089" s="566" t="s">
        <v>52</v>
      </c>
      <c r="F1089" s="566" t="s">
        <v>53</v>
      </c>
      <c r="G1089" s="1219" t="s">
        <v>54</v>
      </c>
      <c r="H1089" s="1220"/>
      <c r="I1089" s="632" t="s">
        <v>188</v>
      </c>
      <c r="J1089" s="632"/>
      <c r="K1089" s="1209" t="s">
        <v>180</v>
      </c>
      <c r="L1089" s="1210"/>
      <c r="M1089" s="50"/>
      <c r="N1089" s="50"/>
      <c r="O1089" s="5"/>
      <c r="P1089" s="9"/>
      <c r="Q1089" s="34"/>
      <c r="R1089" s="5"/>
      <c r="U1089" s="35"/>
    </row>
    <row r="1090" spans="1:21" ht="30" customHeight="1" x14ac:dyDescent="0.35">
      <c r="A1090" s="186">
        <v>85110</v>
      </c>
      <c r="B1090" s="1212" t="s">
        <v>568</v>
      </c>
      <c r="C1090" s="1213"/>
      <c r="D1090" s="1214"/>
      <c r="E1090" s="202">
        <f>+Q931/9</f>
        <v>20.821111111111108</v>
      </c>
      <c r="F1090" s="186" t="s">
        <v>108</v>
      </c>
      <c r="G1090" s="788">
        <v>481</v>
      </c>
      <c r="H1090" s="714" t="s">
        <v>508</v>
      </c>
      <c r="I1090" s="224">
        <f>+S931</f>
        <v>0.93863689284411045</v>
      </c>
      <c r="J1090" s="204"/>
      <c r="K1090" s="194">
        <f>+E1090*G1090*I1090</f>
        <v>9400.4057217086465</v>
      </c>
      <c r="L1090" s="186" t="s">
        <v>504</v>
      </c>
      <c r="M1090" s="50"/>
      <c r="N1090" s="50"/>
      <c r="O1090" s="5"/>
      <c r="P1090" s="9"/>
      <c r="Q1090" s="34"/>
      <c r="R1090" s="5"/>
      <c r="U1090" s="35"/>
    </row>
    <row r="1091" spans="1:21" ht="30" customHeight="1" x14ac:dyDescent="0.35">
      <c r="A1091" s="186">
        <v>93410</v>
      </c>
      <c r="B1091" s="1212" t="s">
        <v>569</v>
      </c>
      <c r="C1091" s="1213"/>
      <c r="D1091" s="1214"/>
      <c r="E1091" s="202">
        <f>+Q928</f>
        <v>11.54</v>
      </c>
      <c r="F1091" s="127" t="s">
        <v>16</v>
      </c>
      <c r="G1091" s="788">
        <f>1936/4</f>
        <v>484</v>
      </c>
      <c r="H1091" s="714" t="s">
        <v>514</v>
      </c>
      <c r="I1091" s="224">
        <f>+S928</f>
        <v>0.93863689284411045</v>
      </c>
      <c r="J1091" s="186"/>
      <c r="K1091" s="194">
        <f>+E1091*G1091*I1091</f>
        <v>5242.6249558157806</v>
      </c>
      <c r="L1091" s="186" t="s">
        <v>504</v>
      </c>
      <c r="M1091" s="50"/>
      <c r="N1091" s="50"/>
      <c r="O1091" s="797"/>
      <c r="P1091" s="9"/>
      <c r="Q1091" s="34"/>
      <c r="R1091" s="5"/>
      <c r="U1091" s="35"/>
    </row>
    <row r="1092" spans="1:21" ht="30" customHeight="1" x14ac:dyDescent="0.35">
      <c r="A1092" s="186">
        <v>93210</v>
      </c>
      <c r="B1092" s="1212" t="s">
        <v>570</v>
      </c>
      <c r="C1092" s="1213"/>
      <c r="D1092" s="1214"/>
      <c r="E1092" s="202">
        <f>+Q930</f>
        <v>149.81</v>
      </c>
      <c r="F1092" s="127" t="s">
        <v>16</v>
      </c>
      <c r="G1092" s="788">
        <f>327/4</f>
        <v>81.75</v>
      </c>
      <c r="H1092" s="714" t="s">
        <v>514</v>
      </c>
      <c r="I1092" s="224">
        <f>+S930</f>
        <v>0.93863689284411045</v>
      </c>
      <c r="J1092" s="186"/>
      <c r="K1092" s="194">
        <f>+E1092*G1092*I1092</f>
        <v>11495.455520962803</v>
      </c>
      <c r="L1092" s="186" t="s">
        <v>504</v>
      </c>
      <c r="M1092" s="50"/>
      <c r="N1092" s="50"/>
      <c r="O1092" s="5"/>
      <c r="P1092" s="9"/>
      <c r="Q1092" s="34"/>
      <c r="R1092" s="5"/>
      <c r="U1092" s="35"/>
    </row>
    <row r="1093" spans="1:21" ht="30" customHeight="1" x14ac:dyDescent="0.35">
      <c r="A1093" s="1511" t="s">
        <v>3028</v>
      </c>
      <c r="B1093" s="1521"/>
      <c r="C1093" s="1521"/>
      <c r="D1093" s="1237"/>
      <c r="E1093" s="194"/>
      <c r="F1093" s="186"/>
      <c r="G1093" s="503"/>
      <c r="H1093" s="534"/>
      <c r="I1093" s="186"/>
      <c r="J1093" s="186" t="s">
        <v>251</v>
      </c>
      <c r="K1093" s="194">
        <f>SUM(K1090:K1092)</f>
        <v>26138.486198487233</v>
      </c>
      <c r="L1093" s="186" t="s">
        <v>504</v>
      </c>
      <c r="M1093" s="50"/>
      <c r="N1093" s="50"/>
      <c r="O1093" s="5"/>
      <c r="P1093" s="9"/>
      <c r="Q1093" s="34"/>
      <c r="R1093" s="5"/>
      <c r="U1093" s="35"/>
    </row>
    <row r="1094" spans="1:21" ht="30" customHeight="1" thickBot="1" x14ac:dyDescent="0.4">
      <c r="A1094" s="1522"/>
      <c r="B1094" s="1523"/>
      <c r="C1094" s="1523"/>
      <c r="D1094" s="1524"/>
      <c r="E1094" s="503"/>
      <c r="F1094" s="503"/>
      <c r="G1094" s="1366" t="s">
        <v>257</v>
      </c>
      <c r="H1094" s="1367"/>
      <c r="I1094" s="1368"/>
      <c r="J1094" s="560">
        <f>VLOOKUP(B1088,'Mil Cost Premiums for PUCs'!$A$4:$R$285,18,FALSE)</f>
        <v>1.0485669999999998</v>
      </c>
      <c r="K1094" s="193">
        <f>+K1093*J1094</f>
        <v>27407.954057689156</v>
      </c>
      <c r="L1094" s="186" t="s">
        <v>504</v>
      </c>
      <c r="M1094" s="50"/>
      <c r="N1094" s="50"/>
      <c r="O1094" s="5"/>
      <c r="P1094" s="9"/>
      <c r="Q1094" s="34"/>
      <c r="R1094" s="5"/>
      <c r="U1094" s="35"/>
    </row>
    <row r="1095" spans="1:21" ht="30" customHeight="1" thickBot="1" x14ac:dyDescent="0.4">
      <c r="A1095" s="1199"/>
      <c r="B1095" s="1200"/>
      <c r="C1095" s="1200"/>
      <c r="D1095" s="1200"/>
      <c r="E1095" s="1200"/>
      <c r="F1095" s="1200"/>
      <c r="G1095" s="1200"/>
      <c r="H1095" s="1200"/>
      <c r="I1095" s="1200"/>
      <c r="J1095" s="1200"/>
      <c r="K1095" s="1200"/>
      <c r="L1095" s="1201"/>
      <c r="M1095" s="50"/>
      <c r="N1095" s="50"/>
      <c r="O1095" s="5"/>
      <c r="P1095" s="9"/>
      <c r="Q1095" s="34"/>
      <c r="R1095" s="5"/>
      <c r="U1095" s="35"/>
    </row>
    <row r="1096" spans="1:21" ht="30" customHeight="1" x14ac:dyDescent="0.35">
      <c r="A1096" s="388" t="s">
        <v>1</v>
      </c>
      <c r="B1096" s="389">
        <v>1761</v>
      </c>
      <c r="C1096" s="1205" t="s">
        <v>571</v>
      </c>
      <c r="D1096" s="1206"/>
      <c r="E1096" s="392" t="s">
        <v>3</v>
      </c>
      <c r="F1096" s="393" t="s">
        <v>504</v>
      </c>
      <c r="G1096" s="394" t="s">
        <v>505</v>
      </c>
      <c r="H1096" s="728">
        <v>4</v>
      </c>
      <c r="I1096" s="392" t="s">
        <v>5</v>
      </c>
      <c r="J1096" s="1556" t="s">
        <v>3010</v>
      </c>
      <c r="K1096" s="1556"/>
      <c r="L1096" s="1557"/>
      <c r="M1096" s="50"/>
      <c r="N1096" s="50"/>
      <c r="O1096" s="5"/>
      <c r="P1096" s="9"/>
      <c r="Q1096" s="34"/>
      <c r="R1096" s="5"/>
      <c r="U1096" s="35"/>
    </row>
    <row r="1097" spans="1:21" ht="30" customHeight="1" x14ac:dyDescent="0.35">
      <c r="A1097" s="185" t="s">
        <v>506</v>
      </c>
      <c r="B1097" s="1280" t="s">
        <v>211</v>
      </c>
      <c r="C1097" s="1281"/>
      <c r="D1097" s="1282"/>
      <c r="E1097" s="566" t="s">
        <v>52</v>
      </c>
      <c r="F1097" s="566" t="s">
        <v>53</v>
      </c>
      <c r="G1097" s="1219" t="s">
        <v>54</v>
      </c>
      <c r="H1097" s="1220"/>
      <c r="I1097" s="632" t="s">
        <v>188</v>
      </c>
      <c r="J1097" s="632" t="s">
        <v>195</v>
      </c>
      <c r="K1097" s="1209" t="s">
        <v>180</v>
      </c>
      <c r="L1097" s="1210"/>
      <c r="M1097" s="50"/>
      <c r="O1097" s="5"/>
      <c r="P1097" s="9"/>
      <c r="Q1097" s="34"/>
      <c r="R1097" s="5"/>
      <c r="U1097" s="35"/>
    </row>
    <row r="1098" spans="1:21" ht="30" customHeight="1" x14ac:dyDescent="0.35">
      <c r="A1098" s="186" t="s">
        <v>221</v>
      </c>
      <c r="B1098" s="1212" t="s">
        <v>463</v>
      </c>
      <c r="C1098" s="1213"/>
      <c r="D1098" s="1214"/>
      <c r="E1098" s="201">
        <f>+Q909</f>
        <v>3983</v>
      </c>
      <c r="F1098" s="127" t="s">
        <v>40</v>
      </c>
      <c r="G1098" s="127"/>
      <c r="H1098" s="714"/>
      <c r="I1098" s="186">
        <f>+S909</f>
        <v>1.1000000000000001</v>
      </c>
      <c r="J1098" s="204">
        <f>T909</f>
        <v>0.98130841121495327</v>
      </c>
      <c r="K1098" s="194">
        <f>+E1098*J1098*I1098</f>
        <v>4299.4065420560746</v>
      </c>
      <c r="L1098" s="186" t="s">
        <v>504</v>
      </c>
      <c r="M1098" s="50"/>
      <c r="N1098" s="50"/>
      <c r="O1098" s="5"/>
      <c r="P1098" s="9"/>
      <c r="Q1098" s="34"/>
      <c r="R1098" s="5"/>
      <c r="U1098" s="35"/>
    </row>
    <row r="1099" spans="1:21" ht="30" customHeight="1" x14ac:dyDescent="0.35">
      <c r="A1099" s="186">
        <v>93410</v>
      </c>
      <c r="B1099" s="1212" t="s">
        <v>572</v>
      </c>
      <c r="C1099" s="1213"/>
      <c r="D1099" s="1214"/>
      <c r="E1099" s="202">
        <f>+Q928</f>
        <v>11.54</v>
      </c>
      <c r="F1099" s="127" t="s">
        <v>16</v>
      </c>
      <c r="G1099" s="788">
        <f>2.6*4</f>
        <v>10.4</v>
      </c>
      <c r="H1099" s="714" t="s">
        <v>514</v>
      </c>
      <c r="I1099" s="224">
        <f>+S928</f>
        <v>0.93863689284411045</v>
      </c>
      <c r="J1099" s="186"/>
      <c r="K1099" s="194">
        <f>+E1099*G1099*I1099</f>
        <v>112.65144533157876</v>
      </c>
      <c r="L1099" s="186" t="s">
        <v>504</v>
      </c>
      <c r="M1099" s="50"/>
      <c r="N1099" s="50"/>
      <c r="O1099" s="5"/>
      <c r="P1099" s="9"/>
      <c r="Q1099" s="34"/>
      <c r="R1099" s="5"/>
      <c r="U1099" s="35"/>
    </row>
    <row r="1100" spans="1:21" ht="30" customHeight="1" x14ac:dyDescent="0.35">
      <c r="A1100" s="186">
        <v>93410</v>
      </c>
      <c r="B1100" s="1212" t="s">
        <v>573</v>
      </c>
      <c r="C1100" s="1213"/>
      <c r="D1100" s="1214"/>
      <c r="E1100" s="202">
        <f>+Q928</f>
        <v>11.54</v>
      </c>
      <c r="F1100" s="127" t="s">
        <v>16</v>
      </c>
      <c r="G1100" s="788">
        <v>26</v>
      </c>
      <c r="H1100" s="714" t="s">
        <v>514</v>
      </c>
      <c r="I1100" s="224">
        <f>+S928</f>
        <v>0.93863689284411045</v>
      </c>
      <c r="J1100" s="186"/>
      <c r="K1100" s="194">
        <f>+E1100*G1100*I1100</f>
        <v>281.62861332894687</v>
      </c>
      <c r="L1100" s="186" t="s">
        <v>504</v>
      </c>
      <c r="M1100" s="95"/>
      <c r="N1100" s="50"/>
      <c r="O1100" s="5"/>
      <c r="P1100" s="9"/>
      <c r="Q1100" s="34"/>
      <c r="R1100" s="5"/>
      <c r="U1100" s="35"/>
    </row>
    <row r="1101" spans="1:21" ht="30" customHeight="1" x14ac:dyDescent="0.35">
      <c r="A1101" s="186">
        <v>93210</v>
      </c>
      <c r="B1101" s="1212" t="s">
        <v>574</v>
      </c>
      <c r="C1101" s="1213"/>
      <c r="D1101" s="1214"/>
      <c r="E1101" s="202">
        <f>+Q930</f>
        <v>149.81</v>
      </c>
      <c r="F1101" s="127" t="s">
        <v>16</v>
      </c>
      <c r="G1101" s="788">
        <v>26</v>
      </c>
      <c r="H1101" s="714" t="s">
        <v>514</v>
      </c>
      <c r="I1101" s="224">
        <f>+S930</f>
        <v>0.93863689284411045</v>
      </c>
      <c r="J1101" s="186"/>
      <c r="K1101" s="194">
        <f>+E1101*G1101*I1101</f>
        <v>3656.0470158413809</v>
      </c>
      <c r="L1101" s="186" t="s">
        <v>504</v>
      </c>
      <c r="N1101" s="50"/>
      <c r="O1101" s="5"/>
      <c r="P1101" s="9"/>
      <c r="Q1101" s="34"/>
      <c r="R1101" s="5"/>
      <c r="U1101" s="35"/>
    </row>
    <row r="1102" spans="1:21" ht="30" customHeight="1" x14ac:dyDescent="0.35">
      <c r="A1102" s="1511" t="s">
        <v>3028</v>
      </c>
      <c r="B1102" s="1521"/>
      <c r="C1102" s="1521"/>
      <c r="D1102" s="1237"/>
      <c r="E1102" s="194"/>
      <c r="F1102" s="186"/>
      <c r="G1102" s="503"/>
      <c r="H1102" s="534"/>
      <c r="I1102" s="186"/>
      <c r="J1102" s="186" t="s">
        <v>251</v>
      </c>
      <c r="K1102" s="194">
        <f>SUM(K1098:K1101)</f>
        <v>8349.73361655798</v>
      </c>
      <c r="L1102" s="186" t="s">
        <v>504</v>
      </c>
      <c r="M1102" s="50"/>
      <c r="N1102" s="50"/>
      <c r="O1102" s="5"/>
      <c r="P1102" s="9"/>
      <c r="Q1102" s="34"/>
      <c r="R1102" s="5"/>
      <c r="U1102" s="35"/>
    </row>
    <row r="1103" spans="1:21" ht="30" customHeight="1" thickBot="1" x14ac:dyDescent="0.4">
      <c r="A1103" s="1522"/>
      <c r="B1103" s="1523"/>
      <c r="C1103" s="1523"/>
      <c r="D1103" s="1524"/>
      <c r="E1103" s="503"/>
      <c r="F1103" s="503"/>
      <c r="G1103" s="1366" t="s">
        <v>257</v>
      </c>
      <c r="H1103" s="1367"/>
      <c r="I1103" s="1368"/>
      <c r="J1103" s="560">
        <f>VLOOKUP(B1096,'Mil Cost Premiums for PUCs'!$A$4:$R$285,18,FALSE)</f>
        <v>1.0485669999999998</v>
      </c>
      <c r="K1103" s="193">
        <f>+K1102*J1103</f>
        <v>8755.2551291133495</v>
      </c>
      <c r="L1103" s="186" t="s">
        <v>504</v>
      </c>
      <c r="M1103" s="50"/>
      <c r="N1103" s="50"/>
      <c r="O1103" s="5"/>
      <c r="P1103" s="9"/>
      <c r="Q1103" s="34"/>
      <c r="R1103" s="5"/>
      <c r="U1103" s="35"/>
    </row>
    <row r="1104" spans="1:21" ht="30" customHeight="1" thickBot="1" x14ac:dyDescent="0.4">
      <c r="A1104" s="1199"/>
      <c r="B1104" s="1200"/>
      <c r="C1104" s="1200"/>
      <c r="D1104" s="1200"/>
      <c r="E1104" s="1200"/>
      <c r="F1104" s="1200"/>
      <c r="G1104" s="1200"/>
      <c r="H1104" s="1200"/>
      <c r="I1104" s="1200"/>
      <c r="J1104" s="1200"/>
      <c r="K1104" s="1200"/>
      <c r="L1104" s="1201"/>
      <c r="M1104" s="50"/>
      <c r="N1104" s="50"/>
      <c r="O1104" s="5"/>
      <c r="P1104" s="9"/>
      <c r="Q1104" s="34"/>
      <c r="R1104" s="5"/>
      <c r="U1104" s="35"/>
    </row>
    <row r="1105" spans="1:21" ht="30" customHeight="1" x14ac:dyDescent="0.35">
      <c r="A1105" s="388" t="s">
        <v>1</v>
      </c>
      <c r="B1105" s="389">
        <v>1762</v>
      </c>
      <c r="C1105" s="1345" t="s">
        <v>575</v>
      </c>
      <c r="D1105" s="1346"/>
      <c r="E1105" s="392" t="s">
        <v>3</v>
      </c>
      <c r="F1105" s="393" t="s">
        <v>576</v>
      </c>
      <c r="G1105" s="394" t="s">
        <v>505</v>
      </c>
      <c r="H1105" s="728">
        <v>2</v>
      </c>
      <c r="I1105" s="392" t="s">
        <v>5</v>
      </c>
      <c r="J1105" s="1556" t="s">
        <v>3010</v>
      </c>
      <c r="K1105" s="1556"/>
      <c r="L1105" s="1557"/>
      <c r="M1105" s="50"/>
      <c r="N1105" s="50"/>
      <c r="O1105" s="5"/>
      <c r="P1105" s="9"/>
      <c r="Q1105" s="34"/>
      <c r="R1105" s="5"/>
      <c r="U1105" s="35"/>
    </row>
    <row r="1106" spans="1:21" ht="30" customHeight="1" x14ac:dyDescent="0.35">
      <c r="A1106" s="185" t="s">
        <v>177</v>
      </c>
      <c r="B1106" s="1280" t="s">
        <v>211</v>
      </c>
      <c r="C1106" s="1281"/>
      <c r="D1106" s="1282"/>
      <c r="E1106" s="566" t="s">
        <v>52</v>
      </c>
      <c r="F1106" s="566" t="s">
        <v>53</v>
      </c>
      <c r="G1106" s="1219" t="s">
        <v>54</v>
      </c>
      <c r="H1106" s="1220"/>
      <c r="I1106" s="632" t="s">
        <v>188</v>
      </c>
      <c r="J1106" s="632"/>
      <c r="K1106" s="1209" t="s">
        <v>180</v>
      </c>
      <c r="L1106" s="1210"/>
      <c r="M1106" s="50"/>
      <c r="N1106" s="50"/>
      <c r="O1106" s="5"/>
      <c r="P1106" s="9"/>
      <c r="Q1106" s="34"/>
      <c r="R1106" s="5"/>
      <c r="U1106" s="35"/>
    </row>
    <row r="1107" spans="1:21" ht="30" customHeight="1" x14ac:dyDescent="0.35">
      <c r="A1107" s="186">
        <v>85110</v>
      </c>
      <c r="B1107" s="1212" t="s">
        <v>577</v>
      </c>
      <c r="C1107" s="1213"/>
      <c r="D1107" s="1214"/>
      <c r="E1107" s="202">
        <f>+Q927/9</f>
        <v>17.658888888888889</v>
      </c>
      <c r="F1107" s="186" t="s">
        <v>108</v>
      </c>
      <c r="G1107" s="788">
        <v>128</v>
      </c>
      <c r="H1107" s="714" t="s">
        <v>578</v>
      </c>
      <c r="I1107" s="752">
        <f>+S927</f>
        <v>0.93863689284411045</v>
      </c>
      <c r="J1107" s="186"/>
      <c r="K1107" s="194">
        <f>+E1107*G1107*I1107</f>
        <v>2121.6364285114946</v>
      </c>
      <c r="L1107" s="186" t="s">
        <v>576</v>
      </c>
      <c r="M1107" s="50"/>
      <c r="N1107" s="50"/>
      <c r="O1107" s="5"/>
      <c r="P1107" s="9"/>
      <c r="Q1107" s="34"/>
      <c r="R1107" s="5"/>
      <c r="U1107" s="35"/>
    </row>
    <row r="1108" spans="1:21" ht="30" customHeight="1" x14ac:dyDescent="0.35">
      <c r="A1108" s="186">
        <v>93410</v>
      </c>
      <c r="B1108" s="1212" t="s">
        <v>579</v>
      </c>
      <c r="C1108" s="1213"/>
      <c r="D1108" s="1214"/>
      <c r="E1108" s="202">
        <f>+Q928</f>
        <v>11.54</v>
      </c>
      <c r="F1108" s="127" t="s">
        <v>16</v>
      </c>
      <c r="G1108" s="788">
        <v>52</v>
      </c>
      <c r="H1108" s="714" t="s">
        <v>580</v>
      </c>
      <c r="I1108" s="752">
        <f>+S928</f>
        <v>0.93863689284411045</v>
      </c>
      <c r="J1108" s="186"/>
      <c r="K1108" s="194">
        <f>+E1108*G1108*I1108</f>
        <v>563.25722665789374</v>
      </c>
      <c r="L1108" s="186" t="s">
        <v>576</v>
      </c>
      <c r="M1108" s="50"/>
      <c r="O1108" s="5"/>
      <c r="P1108" s="9"/>
      <c r="Q1108" s="34"/>
      <c r="R1108" s="5"/>
      <c r="U1108" s="35"/>
    </row>
    <row r="1109" spans="1:21" ht="30" customHeight="1" x14ac:dyDescent="0.35">
      <c r="A1109" s="186">
        <v>93210</v>
      </c>
      <c r="B1109" s="1212" t="s">
        <v>581</v>
      </c>
      <c r="C1109" s="1213"/>
      <c r="D1109" s="1214"/>
      <c r="E1109" s="202">
        <f>+Q930</f>
        <v>149.81</v>
      </c>
      <c r="F1109" s="127" t="s">
        <v>16</v>
      </c>
      <c r="G1109" s="788">
        <v>20</v>
      </c>
      <c r="H1109" s="714" t="s">
        <v>580</v>
      </c>
      <c r="I1109" s="752">
        <f>+S930</f>
        <v>0.93863689284411045</v>
      </c>
      <c r="J1109" s="186"/>
      <c r="K1109" s="194">
        <f>+E1109*G1109*I1109</f>
        <v>2812.3438583395236</v>
      </c>
      <c r="L1109" s="186" t="s">
        <v>576</v>
      </c>
      <c r="M1109" s="50"/>
      <c r="N1109" s="50"/>
      <c r="O1109" s="5"/>
      <c r="P1109" s="9"/>
      <c r="Q1109" s="34"/>
      <c r="R1109" s="5"/>
      <c r="U1109" s="35"/>
    </row>
    <row r="1110" spans="1:21" ht="30" customHeight="1" x14ac:dyDescent="0.35">
      <c r="A1110" s="1511" t="s">
        <v>3028</v>
      </c>
      <c r="B1110" s="1521"/>
      <c r="C1110" s="1521"/>
      <c r="D1110" s="1237"/>
      <c r="E1110" s="194"/>
      <c r="F1110" s="186"/>
      <c r="G1110" s="503"/>
      <c r="H1110" s="534"/>
      <c r="I1110" s="186"/>
      <c r="J1110" s="186" t="s">
        <v>251</v>
      </c>
      <c r="K1110" s="194">
        <f>SUM(K1107:K1109)</f>
        <v>5497.2375135089114</v>
      </c>
      <c r="L1110" s="186" t="s">
        <v>576</v>
      </c>
      <c r="M1110" s="50"/>
      <c r="N1110" s="50"/>
      <c r="O1110" s="5"/>
      <c r="P1110" s="9"/>
      <c r="Q1110" s="34"/>
      <c r="R1110" s="5"/>
      <c r="U1110" s="35"/>
    </row>
    <row r="1111" spans="1:21" ht="30" customHeight="1" thickBot="1" x14ac:dyDescent="0.4">
      <c r="A1111" s="1522"/>
      <c r="B1111" s="1523"/>
      <c r="C1111" s="1523"/>
      <c r="D1111" s="1524"/>
      <c r="E1111" s="503"/>
      <c r="F1111" s="503"/>
      <c r="G1111" s="503"/>
      <c r="H1111" s="503"/>
      <c r="I1111" s="503"/>
      <c r="J1111" s="494" t="s">
        <v>37</v>
      </c>
      <c r="K1111" s="193">
        <f>+K1110</f>
        <v>5497.2375135089114</v>
      </c>
      <c r="L1111" s="186" t="s">
        <v>576</v>
      </c>
      <c r="M1111" s="50"/>
      <c r="N1111" s="50"/>
      <c r="O1111" s="5"/>
      <c r="P1111" s="9"/>
      <c r="Q1111" s="34"/>
      <c r="R1111" s="5"/>
      <c r="U1111" s="35"/>
    </row>
    <row r="1112" spans="1:21" ht="30" customHeight="1" thickBot="1" x14ac:dyDescent="0.4">
      <c r="A1112" s="1199"/>
      <c r="B1112" s="1200"/>
      <c r="C1112" s="1200"/>
      <c r="D1112" s="1200"/>
      <c r="E1112" s="1200"/>
      <c r="F1112" s="1200"/>
      <c r="G1112" s="1200"/>
      <c r="H1112" s="1200"/>
      <c r="I1112" s="1200"/>
      <c r="J1112" s="1200"/>
      <c r="K1112" s="1200"/>
      <c r="L1112" s="1201"/>
      <c r="M1112" s="50"/>
      <c r="N1112" s="50"/>
      <c r="O1112" s="5"/>
      <c r="P1112" s="9"/>
      <c r="Q1112" s="34"/>
      <c r="R1112" s="5"/>
      <c r="U1112" s="35"/>
    </row>
    <row r="1113" spans="1:21" ht="30" customHeight="1" x14ac:dyDescent="0.35">
      <c r="A1113" s="388" t="s">
        <v>1</v>
      </c>
      <c r="B1113" s="389">
        <v>1763</v>
      </c>
      <c r="C1113" s="1205" t="s">
        <v>582</v>
      </c>
      <c r="D1113" s="1206"/>
      <c r="E1113" s="392" t="s">
        <v>3</v>
      </c>
      <c r="F1113" s="545" t="s">
        <v>504</v>
      </c>
      <c r="G1113" s="394" t="s">
        <v>505</v>
      </c>
      <c r="H1113" s="728">
        <v>1</v>
      </c>
      <c r="I1113" s="392" t="s">
        <v>5</v>
      </c>
      <c r="J1113" s="1556" t="s">
        <v>3010</v>
      </c>
      <c r="K1113" s="1556"/>
      <c r="L1113" s="1557"/>
      <c r="M1113" s="50"/>
      <c r="N1113" s="50"/>
      <c r="O1113" s="5"/>
      <c r="P1113" s="9"/>
      <c r="Q1113" s="34"/>
      <c r="R1113" s="5"/>
      <c r="U1113" s="35"/>
    </row>
    <row r="1114" spans="1:21" ht="30" customHeight="1" x14ac:dyDescent="0.35">
      <c r="A1114" s="185" t="s">
        <v>506</v>
      </c>
      <c r="B1114" s="1280" t="s">
        <v>211</v>
      </c>
      <c r="C1114" s="1281"/>
      <c r="D1114" s="1282"/>
      <c r="E1114" s="566" t="s">
        <v>52</v>
      </c>
      <c r="F1114" s="566" t="s">
        <v>53</v>
      </c>
      <c r="G1114" s="1219" t="s">
        <v>54</v>
      </c>
      <c r="H1114" s="1220"/>
      <c r="I1114" s="185" t="s">
        <v>188</v>
      </c>
      <c r="J1114" s="185" t="s">
        <v>195</v>
      </c>
      <c r="K1114" s="1209" t="s">
        <v>180</v>
      </c>
      <c r="L1114" s="1210"/>
      <c r="M1114" s="50"/>
      <c r="N1114" s="50"/>
      <c r="O1114" s="5"/>
      <c r="P1114" s="9"/>
      <c r="Q1114" s="34"/>
      <c r="R1114" s="5"/>
      <c r="U1114" s="35"/>
    </row>
    <row r="1115" spans="1:21" ht="30" customHeight="1" x14ac:dyDescent="0.35">
      <c r="A1115" s="185"/>
      <c r="B1115" s="1211" t="s">
        <v>583</v>
      </c>
      <c r="C1115" s="1211"/>
      <c r="D1115" s="1211"/>
      <c r="E1115" s="566"/>
      <c r="F1115" s="566"/>
      <c r="G1115" s="459"/>
      <c r="H1115" s="460"/>
      <c r="I1115" s="840"/>
      <c r="J1115" s="840"/>
      <c r="K1115" s="566"/>
      <c r="L1115" s="566"/>
      <c r="M1115" s="50"/>
      <c r="N1115" s="50"/>
      <c r="O1115" s="5"/>
      <c r="P1115" s="9"/>
      <c r="Q1115" s="34"/>
      <c r="R1115" s="5"/>
      <c r="U1115" s="35"/>
    </row>
    <row r="1116" spans="1:21" ht="30" customHeight="1" x14ac:dyDescent="0.35">
      <c r="A1116" s="186" t="s">
        <v>465</v>
      </c>
      <c r="B1116" s="1264" t="s">
        <v>584</v>
      </c>
      <c r="C1116" s="1264"/>
      <c r="D1116" s="1264"/>
      <c r="E1116" s="202">
        <f>+Q911</f>
        <v>14.375</v>
      </c>
      <c r="F1116" s="186" t="s">
        <v>108</v>
      </c>
      <c r="G1116" s="788">
        <f>9*468</f>
        <v>4212</v>
      </c>
      <c r="H1116" s="714" t="s">
        <v>508</v>
      </c>
      <c r="I1116" s="204">
        <f>+S911</f>
        <v>1.07</v>
      </c>
      <c r="J1116" s="204">
        <f>+T911</f>
        <v>0.98130841121495327</v>
      </c>
      <c r="K1116" s="194">
        <f t="shared" ref="K1116:K1124" si="14">+E1116*G1116*I1116*J1116</f>
        <v>63574.875000000007</v>
      </c>
      <c r="L1116" s="186" t="s">
        <v>504</v>
      </c>
      <c r="M1116" s="50"/>
      <c r="N1116" s="50"/>
      <c r="O1116" s="5"/>
      <c r="P1116" s="9"/>
      <c r="Q1116" s="34"/>
      <c r="R1116" s="5"/>
      <c r="U1116" s="35"/>
    </row>
    <row r="1117" spans="1:21" ht="30" customHeight="1" x14ac:dyDescent="0.35">
      <c r="A1117" s="186" t="s">
        <v>345</v>
      </c>
      <c r="B1117" s="1264" t="s">
        <v>585</v>
      </c>
      <c r="C1117" s="1264"/>
      <c r="D1117" s="1264"/>
      <c r="E1117" s="202">
        <f>+Q912</f>
        <v>22.25</v>
      </c>
      <c r="F1117" s="186" t="s">
        <v>108</v>
      </c>
      <c r="G1117" s="788">
        <f>2153*2</f>
        <v>4306</v>
      </c>
      <c r="H1117" s="714" t="s">
        <v>508</v>
      </c>
      <c r="I1117" s="204">
        <f>+S912</f>
        <v>0.95</v>
      </c>
      <c r="J1117" s="204">
        <f>+T912</f>
        <v>0.98130841121495327</v>
      </c>
      <c r="K1117" s="194">
        <f t="shared" si="14"/>
        <v>89316.802570093452</v>
      </c>
      <c r="L1117" s="186" t="s">
        <v>504</v>
      </c>
      <c r="M1117" s="50"/>
      <c r="N1117" s="50"/>
      <c r="O1117" s="5"/>
      <c r="P1117" s="9"/>
      <c r="Q1117" s="34"/>
      <c r="R1117" s="5"/>
      <c r="U1117" s="35"/>
    </row>
    <row r="1118" spans="1:21" ht="30" customHeight="1" x14ac:dyDescent="0.35">
      <c r="A1118" s="186" t="s">
        <v>193</v>
      </c>
      <c r="B1118" s="1264" t="s">
        <v>473</v>
      </c>
      <c r="C1118" s="1264"/>
      <c r="D1118" s="1264"/>
      <c r="E1118" s="202">
        <f>+Q915</f>
        <v>1207.5</v>
      </c>
      <c r="F1118" s="127" t="s">
        <v>40</v>
      </c>
      <c r="G1118" s="788">
        <v>11</v>
      </c>
      <c r="H1118" s="714" t="s">
        <v>509</v>
      </c>
      <c r="I1118" s="204">
        <f>+S915</f>
        <v>1.01</v>
      </c>
      <c r="J1118" s="204">
        <f>+T915</f>
        <v>0.98130841121495327</v>
      </c>
      <c r="K1118" s="194">
        <f t="shared" si="14"/>
        <v>13164.571261682244</v>
      </c>
      <c r="L1118" s="186" t="s">
        <v>504</v>
      </c>
      <c r="M1118" s="50"/>
      <c r="N1118" s="50"/>
      <c r="O1118" s="5"/>
      <c r="P1118" s="9"/>
      <c r="Q1118" s="34"/>
      <c r="R1118" s="5"/>
      <c r="U1118" s="35"/>
    </row>
    <row r="1119" spans="1:21" ht="30" customHeight="1" x14ac:dyDescent="0.35">
      <c r="A1119" s="186" t="s">
        <v>333</v>
      </c>
      <c r="B1119" s="1264" t="s">
        <v>586</v>
      </c>
      <c r="C1119" s="1264"/>
      <c r="D1119" s="1264"/>
      <c r="E1119" s="202">
        <f>+Q921</f>
        <v>25.875</v>
      </c>
      <c r="F1119" s="127" t="s">
        <v>28</v>
      </c>
      <c r="G1119" s="788">
        <f>656*2</f>
        <v>1312</v>
      </c>
      <c r="H1119" s="714" t="s">
        <v>511</v>
      </c>
      <c r="I1119" s="204">
        <f>+S921</f>
        <v>1.01</v>
      </c>
      <c r="J1119" s="204">
        <f>+T921</f>
        <v>0.98130841121495327</v>
      </c>
      <c r="K1119" s="194">
        <f t="shared" si="14"/>
        <v>33646.592523364488</v>
      </c>
      <c r="L1119" s="186" t="s">
        <v>504</v>
      </c>
      <c r="M1119" s="50"/>
      <c r="N1119" s="50"/>
      <c r="O1119" s="797"/>
      <c r="P1119" s="9"/>
      <c r="Q1119" s="34"/>
      <c r="R1119" s="5"/>
      <c r="U1119" s="35"/>
    </row>
    <row r="1120" spans="1:21" ht="30" customHeight="1" x14ac:dyDescent="0.35">
      <c r="A1120" s="186" t="s">
        <v>333</v>
      </c>
      <c r="B1120" s="1264" t="s">
        <v>587</v>
      </c>
      <c r="C1120" s="1264"/>
      <c r="D1120" s="1264"/>
      <c r="E1120" s="202">
        <f>+Q922</f>
        <v>3960</v>
      </c>
      <c r="F1120" s="127" t="s">
        <v>40</v>
      </c>
      <c r="G1120" s="788">
        <v>2</v>
      </c>
      <c r="H1120" s="714" t="s">
        <v>517</v>
      </c>
      <c r="I1120" s="204">
        <f>+S922</f>
        <v>1.01</v>
      </c>
      <c r="J1120" s="204">
        <f>+T922</f>
        <v>0.98130841121495327</v>
      </c>
      <c r="K1120" s="194">
        <f t="shared" si="14"/>
        <v>7849.6822429906542</v>
      </c>
      <c r="L1120" s="186" t="s">
        <v>504</v>
      </c>
      <c r="M1120" s="50"/>
      <c r="N1120" s="50"/>
      <c r="O1120" s="797"/>
      <c r="P1120" s="9"/>
      <c r="Q1120" s="34"/>
      <c r="R1120" s="5"/>
      <c r="U1120" s="35"/>
    </row>
    <row r="1121" spans="1:21" ht="30" customHeight="1" x14ac:dyDescent="0.35">
      <c r="A1121" s="186" t="s">
        <v>193</v>
      </c>
      <c r="B1121" s="1264" t="s">
        <v>562</v>
      </c>
      <c r="C1121" s="1264"/>
      <c r="D1121" s="1264"/>
      <c r="E1121" s="202">
        <f>+Q917</f>
        <v>1485</v>
      </c>
      <c r="F1121" s="127" t="s">
        <v>40</v>
      </c>
      <c r="G1121" s="788">
        <v>11</v>
      </c>
      <c r="H1121" s="714" t="s">
        <v>509</v>
      </c>
      <c r="I1121" s="204">
        <f t="shared" ref="I1121:J1123" si="15">+S917</f>
        <v>1.01</v>
      </c>
      <c r="J1121" s="204">
        <f t="shared" si="15"/>
        <v>0.98130841121495327</v>
      </c>
      <c r="K1121" s="194">
        <f t="shared" si="14"/>
        <v>16189.969626168222</v>
      </c>
      <c r="L1121" s="186" t="s">
        <v>504</v>
      </c>
      <c r="M1121" s="50"/>
      <c r="N1121" s="50"/>
      <c r="O1121" s="5"/>
      <c r="P1121" s="9"/>
      <c r="Q1121" s="34"/>
      <c r="R1121" s="5"/>
      <c r="U1121" s="35"/>
    </row>
    <row r="1122" spans="1:21" ht="30" customHeight="1" x14ac:dyDescent="0.35">
      <c r="A1122" s="186" t="s">
        <v>477</v>
      </c>
      <c r="B1122" s="1264" t="s">
        <v>588</v>
      </c>
      <c r="C1122" s="1264"/>
      <c r="D1122" s="1264"/>
      <c r="E1122" s="202">
        <f>+Q918</f>
        <v>207.9</v>
      </c>
      <c r="F1122" s="127" t="s">
        <v>40</v>
      </c>
      <c r="G1122" s="788">
        <v>53</v>
      </c>
      <c r="H1122" s="714" t="s">
        <v>509</v>
      </c>
      <c r="I1122" s="204">
        <f t="shared" si="15"/>
        <v>1.01</v>
      </c>
      <c r="J1122" s="204">
        <f t="shared" si="15"/>
        <v>0.98130841121495327</v>
      </c>
      <c r="K1122" s="194">
        <f t="shared" si="14"/>
        <v>10920.870420560748</v>
      </c>
      <c r="L1122" s="186" t="s">
        <v>504</v>
      </c>
      <c r="M1122" s="50"/>
      <c r="N1122" s="50"/>
      <c r="O1122" s="5"/>
      <c r="P1122" s="9"/>
      <c r="Q1122" s="34"/>
      <c r="R1122" s="5"/>
      <c r="U1122" s="35"/>
    </row>
    <row r="1123" spans="1:21" ht="30" customHeight="1" x14ac:dyDescent="0.35">
      <c r="A1123" s="186" t="s">
        <v>479</v>
      </c>
      <c r="B1123" s="1212" t="s">
        <v>589</v>
      </c>
      <c r="C1123" s="1213"/>
      <c r="D1123" s="1214"/>
      <c r="E1123" s="202">
        <f>+Q919</f>
        <v>25.849999999999998</v>
      </c>
      <c r="F1123" s="127" t="s">
        <v>28</v>
      </c>
      <c r="G1123" s="788">
        <v>20825</v>
      </c>
      <c r="H1123" s="714" t="s">
        <v>511</v>
      </c>
      <c r="I1123" s="204">
        <f t="shared" si="15"/>
        <v>1.01</v>
      </c>
      <c r="J1123" s="204">
        <f t="shared" si="15"/>
        <v>0.98130841121495327</v>
      </c>
      <c r="K1123" s="194">
        <f t="shared" si="14"/>
        <v>533546.71787383175</v>
      </c>
      <c r="L1123" s="186" t="s">
        <v>504</v>
      </c>
      <c r="M1123" s="50"/>
      <c r="N1123" s="50"/>
      <c r="O1123" s="5"/>
      <c r="P1123" s="9"/>
      <c r="Q1123" s="34"/>
      <c r="R1123" s="5"/>
      <c r="U1123" s="35"/>
    </row>
    <row r="1124" spans="1:21" ht="30" customHeight="1" x14ac:dyDescent="0.35">
      <c r="A1124" s="186" t="s">
        <v>465</v>
      </c>
      <c r="B1124" s="1212" t="s">
        <v>590</v>
      </c>
      <c r="C1124" s="1213"/>
      <c r="D1124" s="1214"/>
      <c r="E1124" s="201">
        <f>+Q912</f>
        <v>22.25</v>
      </c>
      <c r="F1124" s="127" t="s">
        <v>108</v>
      </c>
      <c r="G1124" s="788">
        <v>192</v>
      </c>
      <c r="H1124" s="714" t="s">
        <v>508</v>
      </c>
      <c r="I1124" s="204">
        <f>+S912</f>
        <v>0.95</v>
      </c>
      <c r="J1124" s="204">
        <f>+T912</f>
        <v>0.98130841121495327</v>
      </c>
      <c r="K1124" s="194">
        <f t="shared" si="14"/>
        <v>3982.5420560747662</v>
      </c>
      <c r="L1124" s="186" t="s">
        <v>504</v>
      </c>
      <c r="M1124" s="50"/>
      <c r="N1124" s="50"/>
      <c r="O1124" s="5"/>
      <c r="P1124" s="9"/>
      <c r="Q1124" s="34"/>
      <c r="R1124" s="5"/>
      <c r="U1124" s="35"/>
    </row>
    <row r="1125" spans="1:21" ht="30" customHeight="1" x14ac:dyDescent="0.35">
      <c r="A1125" s="186">
        <v>93410</v>
      </c>
      <c r="B1125" s="1212" t="s">
        <v>591</v>
      </c>
      <c r="C1125" s="1213"/>
      <c r="D1125" s="1214"/>
      <c r="E1125" s="202">
        <f>+Q928</f>
        <v>11.54</v>
      </c>
      <c r="F1125" s="127" t="s">
        <v>16</v>
      </c>
      <c r="G1125" s="788">
        <v>523</v>
      </c>
      <c r="H1125" s="714" t="s">
        <v>514</v>
      </c>
      <c r="I1125" s="752">
        <f>+S928</f>
        <v>0.93863689284411045</v>
      </c>
      <c r="J1125" s="186"/>
      <c r="K1125" s="194">
        <f>+E1125*G1125*I1125</f>
        <v>5665.0678758091999</v>
      </c>
      <c r="L1125" s="186" t="s">
        <v>504</v>
      </c>
      <c r="M1125" s="95"/>
      <c r="N1125" s="50"/>
      <c r="O1125" s="5"/>
      <c r="P1125" s="9"/>
      <c r="Q1125" s="34"/>
      <c r="R1125" s="5"/>
      <c r="U1125" s="35"/>
    </row>
    <row r="1126" spans="1:21" ht="30" customHeight="1" x14ac:dyDescent="0.35">
      <c r="A1126" s="1511" t="s">
        <v>3028</v>
      </c>
      <c r="B1126" s="1521"/>
      <c r="C1126" s="1521"/>
      <c r="D1126" s="1237"/>
      <c r="E1126" s="194"/>
      <c r="F1126" s="186"/>
      <c r="G1126" s="503"/>
      <c r="H1126" s="534"/>
      <c r="I1126" s="186"/>
      <c r="J1126" s="186" t="s">
        <v>251</v>
      </c>
      <c r="K1126" s="194">
        <f>SUM(K1116:K1125)</f>
        <v>777857.69145057537</v>
      </c>
      <c r="L1126" s="186" t="s">
        <v>504</v>
      </c>
      <c r="N1126" s="50"/>
      <c r="O1126" s="5"/>
      <c r="P1126" s="9"/>
      <c r="Q1126" s="34"/>
      <c r="R1126" s="5"/>
      <c r="U1126" s="35"/>
    </row>
    <row r="1127" spans="1:21" ht="30" customHeight="1" thickBot="1" x14ac:dyDescent="0.4">
      <c r="A1127" s="1522"/>
      <c r="B1127" s="1523"/>
      <c r="C1127" s="1523"/>
      <c r="D1127" s="1524"/>
      <c r="E1127" s="503"/>
      <c r="F1127" s="503"/>
      <c r="G1127" s="1366" t="s">
        <v>257</v>
      </c>
      <c r="H1127" s="1367"/>
      <c r="I1127" s="1368"/>
      <c r="J1127" s="560">
        <f>VLOOKUP(B1113,'Mil Cost Premiums for PUCs'!$A$4:$R$285,18,FALSE)</f>
        <v>1.0485669999999998</v>
      </c>
      <c r="K1127" s="193">
        <f>+K1126*J1127</f>
        <v>815635.90595125535</v>
      </c>
      <c r="L1127" s="186" t="s">
        <v>504</v>
      </c>
      <c r="M1127" s="50"/>
      <c r="N1127" s="50"/>
      <c r="O1127" s="5"/>
      <c r="P1127" s="9"/>
      <c r="Q1127" s="34"/>
      <c r="R1127" s="5"/>
      <c r="U1127" s="35"/>
    </row>
    <row r="1128" spans="1:21" ht="30" customHeight="1" thickBot="1" x14ac:dyDescent="0.4">
      <c r="A1128" s="1199"/>
      <c r="B1128" s="1200"/>
      <c r="C1128" s="1200"/>
      <c r="D1128" s="1200"/>
      <c r="E1128" s="1200"/>
      <c r="F1128" s="1200"/>
      <c r="G1128" s="1200"/>
      <c r="H1128" s="1200"/>
      <c r="I1128" s="1200"/>
      <c r="J1128" s="1200"/>
      <c r="K1128" s="1200"/>
      <c r="L1128" s="1201"/>
      <c r="M1128" s="50"/>
      <c r="N1128" s="50"/>
      <c r="O1128" s="5"/>
      <c r="P1128" s="9"/>
      <c r="Q1128" s="34"/>
      <c r="R1128" s="5"/>
      <c r="U1128" s="35"/>
    </row>
    <row r="1129" spans="1:21" ht="30" customHeight="1" x14ac:dyDescent="0.35">
      <c r="A1129" s="388" t="s">
        <v>1</v>
      </c>
      <c r="B1129" s="389">
        <v>1764</v>
      </c>
      <c r="C1129" s="1205" t="s">
        <v>592</v>
      </c>
      <c r="D1129" s="1206"/>
      <c r="E1129" s="392" t="s">
        <v>3</v>
      </c>
      <c r="F1129" s="545" t="s">
        <v>576</v>
      </c>
      <c r="G1129" s="841" t="s">
        <v>593</v>
      </c>
      <c r="H1129" s="728">
        <v>1</v>
      </c>
      <c r="I1129" s="392" t="s">
        <v>5</v>
      </c>
      <c r="J1129" s="1556" t="s">
        <v>3010</v>
      </c>
      <c r="K1129" s="1556"/>
      <c r="L1129" s="1557"/>
      <c r="M1129" s="50"/>
      <c r="O1129" s="5"/>
      <c r="P1129" s="9"/>
      <c r="Q1129" s="34"/>
      <c r="R1129" s="5"/>
      <c r="U1129" s="35"/>
    </row>
    <row r="1130" spans="1:21" ht="30" customHeight="1" x14ac:dyDescent="0.35">
      <c r="A1130" s="185" t="s">
        <v>506</v>
      </c>
      <c r="B1130" s="1280" t="s">
        <v>211</v>
      </c>
      <c r="C1130" s="1281"/>
      <c r="D1130" s="1282"/>
      <c r="E1130" s="566" t="s">
        <v>52</v>
      </c>
      <c r="F1130" s="566" t="s">
        <v>53</v>
      </c>
      <c r="G1130" s="1219" t="s">
        <v>54</v>
      </c>
      <c r="H1130" s="1220"/>
      <c r="I1130" s="185" t="s">
        <v>188</v>
      </c>
      <c r="J1130" s="632" t="s">
        <v>195</v>
      </c>
      <c r="K1130" s="1209" t="s">
        <v>180</v>
      </c>
      <c r="L1130" s="1210"/>
      <c r="M1130" s="50"/>
      <c r="N1130" s="50"/>
      <c r="O1130" s="5"/>
      <c r="P1130" s="9"/>
      <c r="Q1130" s="34"/>
      <c r="R1130" s="5"/>
      <c r="U1130" s="35"/>
    </row>
    <row r="1131" spans="1:21" ht="30" customHeight="1" x14ac:dyDescent="0.35">
      <c r="A1131" s="185"/>
      <c r="B1131" s="1202" t="s">
        <v>594</v>
      </c>
      <c r="C1131" s="1203"/>
      <c r="D1131" s="1204"/>
      <c r="E1131" s="566"/>
      <c r="F1131" s="566"/>
      <c r="G1131" s="459"/>
      <c r="H1131" s="460"/>
      <c r="I1131" s="840"/>
      <c r="J1131" s="672"/>
      <c r="K1131" s="566"/>
      <c r="L1131" s="566"/>
      <c r="M1131" s="50"/>
      <c r="N1131" s="50"/>
      <c r="O1131" s="5"/>
      <c r="P1131" s="9"/>
      <c r="Q1131" s="34"/>
      <c r="R1131" s="5"/>
      <c r="U1131" s="35"/>
    </row>
    <row r="1132" spans="1:21" ht="30" customHeight="1" x14ac:dyDescent="0.35">
      <c r="A1132" s="186" t="s">
        <v>465</v>
      </c>
      <c r="B1132" s="1264" t="s">
        <v>595</v>
      </c>
      <c r="C1132" s="1264"/>
      <c r="D1132" s="1264"/>
      <c r="E1132" s="202">
        <f>+Q911</f>
        <v>14.375</v>
      </c>
      <c r="F1132" s="186" t="s">
        <v>108</v>
      </c>
      <c r="G1132" s="788">
        <f>12*468</f>
        <v>5616</v>
      </c>
      <c r="H1132" s="714" t="s">
        <v>578</v>
      </c>
      <c r="I1132" s="204">
        <f>+S911</f>
        <v>1.07</v>
      </c>
      <c r="J1132" s="204">
        <f>+T911</f>
        <v>0.98130841121495327</v>
      </c>
      <c r="K1132" s="194">
        <f t="shared" ref="K1132:K1139" si="16">+E1132*G1132*I1132*J1132</f>
        <v>84766.5</v>
      </c>
      <c r="L1132" s="186" t="s">
        <v>576</v>
      </c>
      <c r="M1132" s="50"/>
      <c r="N1132" s="50"/>
      <c r="O1132" s="5"/>
      <c r="P1132" s="9"/>
      <c r="Q1132" s="34"/>
      <c r="R1132" s="5"/>
      <c r="U1132" s="35"/>
    </row>
    <row r="1133" spans="1:21" ht="30" customHeight="1" x14ac:dyDescent="0.35">
      <c r="A1133" s="186" t="s">
        <v>345</v>
      </c>
      <c r="B1133" s="1264" t="s">
        <v>596</v>
      </c>
      <c r="C1133" s="1264"/>
      <c r="D1133" s="1264"/>
      <c r="E1133" s="202">
        <f>+Q912</f>
        <v>22.25</v>
      </c>
      <c r="F1133" s="186" t="s">
        <v>108</v>
      </c>
      <c r="G1133" s="788">
        <f>3767*5</f>
        <v>18835</v>
      </c>
      <c r="H1133" s="714" t="s">
        <v>578</v>
      </c>
      <c r="I1133" s="204">
        <f>+S912</f>
        <v>0.95</v>
      </c>
      <c r="J1133" s="204">
        <f>+T912</f>
        <v>0.98130841121495327</v>
      </c>
      <c r="K1133" s="194">
        <f t="shared" si="16"/>
        <v>390683.22721962619</v>
      </c>
      <c r="L1133" s="186" t="s">
        <v>576</v>
      </c>
      <c r="M1133" s="50"/>
      <c r="N1133" s="50"/>
      <c r="O1133" s="5"/>
      <c r="P1133" s="9"/>
      <c r="Q1133" s="34"/>
      <c r="R1133" s="5"/>
      <c r="U1133" s="35"/>
    </row>
    <row r="1134" spans="1:21" ht="30" customHeight="1" x14ac:dyDescent="0.35">
      <c r="A1134" s="186" t="s">
        <v>193</v>
      </c>
      <c r="B1134" s="1264" t="s">
        <v>473</v>
      </c>
      <c r="C1134" s="1264"/>
      <c r="D1134" s="1264"/>
      <c r="E1134" s="202">
        <f>+Q915</f>
        <v>1207.5</v>
      </c>
      <c r="F1134" s="127" t="s">
        <v>40</v>
      </c>
      <c r="G1134" s="788">
        <v>17</v>
      </c>
      <c r="H1134" s="714" t="s">
        <v>597</v>
      </c>
      <c r="I1134" s="204">
        <f>+S915</f>
        <v>1.01</v>
      </c>
      <c r="J1134" s="204">
        <f>+T915</f>
        <v>0.98130841121495327</v>
      </c>
      <c r="K1134" s="194">
        <f t="shared" si="16"/>
        <v>20345.246495327105</v>
      </c>
      <c r="L1134" s="186" t="s">
        <v>576</v>
      </c>
      <c r="M1134" s="50"/>
      <c r="N1134" s="50"/>
      <c r="O1134" s="5"/>
      <c r="P1134" s="9"/>
      <c r="Q1134" s="34"/>
      <c r="R1134" s="5"/>
      <c r="U1134" s="35"/>
    </row>
    <row r="1135" spans="1:21" ht="30" customHeight="1" x14ac:dyDescent="0.35">
      <c r="A1135" s="186" t="s">
        <v>333</v>
      </c>
      <c r="B1135" s="1264" t="s">
        <v>598</v>
      </c>
      <c r="C1135" s="1264"/>
      <c r="D1135" s="1264"/>
      <c r="E1135" s="202">
        <f>+Q921</f>
        <v>25.875</v>
      </c>
      <c r="F1135" s="127" t="s">
        <v>28</v>
      </c>
      <c r="G1135" s="788">
        <f>1148*5</f>
        <v>5740</v>
      </c>
      <c r="H1135" s="714" t="s">
        <v>599</v>
      </c>
      <c r="I1135" s="204">
        <f>+S921</f>
        <v>1.01</v>
      </c>
      <c r="J1135" s="204">
        <f>+T921</f>
        <v>0.98130841121495327</v>
      </c>
      <c r="K1135" s="194">
        <f t="shared" si="16"/>
        <v>147203.84228971964</v>
      </c>
      <c r="L1135" s="186" t="s">
        <v>576</v>
      </c>
      <c r="M1135" s="50"/>
      <c r="N1135" s="50"/>
      <c r="O1135" s="5"/>
      <c r="P1135" s="9"/>
      <c r="Q1135" s="34"/>
      <c r="R1135" s="5"/>
      <c r="U1135" s="35"/>
    </row>
    <row r="1136" spans="1:21" ht="30" customHeight="1" x14ac:dyDescent="0.35">
      <c r="A1136" s="186" t="s">
        <v>333</v>
      </c>
      <c r="B1136" s="1264" t="s">
        <v>587</v>
      </c>
      <c r="C1136" s="1264"/>
      <c r="D1136" s="1264"/>
      <c r="E1136" s="202">
        <f>+Q922</f>
        <v>3960</v>
      </c>
      <c r="F1136" s="127" t="s">
        <v>40</v>
      </c>
      <c r="G1136" s="788">
        <v>5</v>
      </c>
      <c r="H1136" s="714" t="s">
        <v>597</v>
      </c>
      <c r="I1136" s="204">
        <f>+S922</f>
        <v>1.01</v>
      </c>
      <c r="J1136" s="204">
        <f>+T922</f>
        <v>0.98130841121495327</v>
      </c>
      <c r="K1136" s="194">
        <f t="shared" si="16"/>
        <v>19624.205607476637</v>
      </c>
      <c r="L1136" s="186" t="s">
        <v>576</v>
      </c>
      <c r="M1136" s="50"/>
      <c r="N1136" s="50"/>
      <c r="O1136" s="5"/>
      <c r="P1136" s="9"/>
      <c r="Q1136" s="34"/>
      <c r="R1136" s="5"/>
      <c r="U1136" s="35"/>
    </row>
    <row r="1137" spans="1:21" ht="30" customHeight="1" x14ac:dyDescent="0.35">
      <c r="A1137" s="186" t="s">
        <v>193</v>
      </c>
      <c r="B1137" s="1264" t="s">
        <v>562</v>
      </c>
      <c r="C1137" s="1264"/>
      <c r="D1137" s="1264"/>
      <c r="E1137" s="202">
        <f>+Q917</f>
        <v>1485</v>
      </c>
      <c r="F1137" s="127" t="s">
        <v>40</v>
      </c>
      <c r="G1137" s="788">
        <v>17</v>
      </c>
      <c r="H1137" s="714" t="s">
        <v>597</v>
      </c>
      <c r="I1137" s="204">
        <f t="shared" ref="I1137:J1139" si="17">+S917</f>
        <v>1.01</v>
      </c>
      <c r="J1137" s="204">
        <f t="shared" si="17"/>
        <v>0.98130841121495327</v>
      </c>
      <c r="K1137" s="194">
        <f t="shared" si="16"/>
        <v>25020.86214953271</v>
      </c>
      <c r="L1137" s="186" t="s">
        <v>576</v>
      </c>
      <c r="M1137" s="50"/>
      <c r="N1137" s="50"/>
      <c r="O1137" s="5"/>
      <c r="P1137" s="9"/>
      <c r="Q1137" s="34"/>
      <c r="R1137" s="5"/>
      <c r="U1137" s="35"/>
    </row>
    <row r="1138" spans="1:21" ht="30" customHeight="1" x14ac:dyDescent="0.35">
      <c r="A1138" s="186" t="s">
        <v>477</v>
      </c>
      <c r="B1138" s="1264" t="s">
        <v>588</v>
      </c>
      <c r="C1138" s="1264"/>
      <c r="D1138" s="1264"/>
      <c r="E1138" s="202">
        <f>+Q918</f>
        <v>207.9</v>
      </c>
      <c r="F1138" s="127" t="s">
        <v>40</v>
      </c>
      <c r="G1138" s="788">
        <v>80</v>
      </c>
      <c r="H1138" s="714" t="s">
        <v>597</v>
      </c>
      <c r="I1138" s="204">
        <f t="shared" si="17"/>
        <v>1.01</v>
      </c>
      <c r="J1138" s="204">
        <f t="shared" si="17"/>
        <v>0.98130841121495327</v>
      </c>
      <c r="K1138" s="194">
        <f t="shared" si="16"/>
        <v>16484.332710280374</v>
      </c>
      <c r="L1138" s="186" t="s">
        <v>576</v>
      </c>
      <c r="M1138" s="50"/>
      <c r="N1138" s="50"/>
      <c r="O1138" s="5"/>
      <c r="P1138" s="9"/>
      <c r="Q1138" s="34"/>
      <c r="R1138" s="5"/>
      <c r="U1138" s="35"/>
    </row>
    <row r="1139" spans="1:21" ht="45" customHeight="1" x14ac:dyDescent="0.35">
      <c r="A1139" s="186" t="s">
        <v>479</v>
      </c>
      <c r="B1139" s="1264" t="s">
        <v>600</v>
      </c>
      <c r="C1139" s="1264"/>
      <c r="D1139" s="1264"/>
      <c r="E1139" s="202">
        <f>+Q919</f>
        <v>25.849999999999998</v>
      </c>
      <c r="F1139" s="127" t="s">
        <v>28</v>
      </c>
      <c r="G1139" s="788">
        <f>6761*17</f>
        <v>114937</v>
      </c>
      <c r="H1139" s="714" t="s">
        <v>599</v>
      </c>
      <c r="I1139" s="204">
        <f t="shared" si="17"/>
        <v>1.01</v>
      </c>
      <c r="J1139" s="204">
        <f t="shared" si="17"/>
        <v>0.98130841121495327</v>
      </c>
      <c r="K1139" s="194">
        <f t="shared" si="16"/>
        <v>2944742.3343224297</v>
      </c>
      <c r="L1139" s="186" t="s">
        <v>576</v>
      </c>
      <c r="M1139" s="50"/>
      <c r="N1139" s="50"/>
      <c r="P1139" s="9"/>
      <c r="Q1139" s="34"/>
      <c r="R1139" s="5"/>
      <c r="U1139" s="35"/>
    </row>
    <row r="1140" spans="1:21" ht="30" customHeight="1" x14ac:dyDescent="0.35">
      <c r="A1140" s="186">
        <v>93410</v>
      </c>
      <c r="B1140" s="1212" t="s">
        <v>601</v>
      </c>
      <c r="C1140" s="1213"/>
      <c r="D1140" s="1214"/>
      <c r="E1140" s="201">
        <f>+Q929</f>
        <v>2.91</v>
      </c>
      <c r="F1140" s="127" t="s">
        <v>4</v>
      </c>
      <c r="G1140" s="788">
        <v>11525</v>
      </c>
      <c r="H1140" s="714" t="s">
        <v>602</v>
      </c>
      <c r="I1140" s="752">
        <f>+S929</f>
        <v>0.93863689284411045</v>
      </c>
      <c r="J1140" s="204"/>
      <c r="K1140" s="194">
        <f>+E1140*G1140*I1140</f>
        <v>31479.769452982564</v>
      </c>
      <c r="L1140" s="186" t="s">
        <v>576</v>
      </c>
      <c r="M1140" s="95"/>
      <c r="N1140" s="50"/>
      <c r="O1140" s="5"/>
      <c r="P1140" s="9"/>
      <c r="Q1140" s="34"/>
      <c r="R1140" s="5"/>
      <c r="U1140" s="35"/>
    </row>
    <row r="1141" spans="1:21" ht="30" customHeight="1" x14ac:dyDescent="0.35">
      <c r="A1141" s="186" t="s">
        <v>465</v>
      </c>
      <c r="B1141" s="1212" t="s">
        <v>603</v>
      </c>
      <c r="C1141" s="1213"/>
      <c r="D1141" s="1214"/>
      <c r="E1141" s="202">
        <f>+Q911</f>
        <v>14.375</v>
      </c>
      <c r="F1141" s="186" t="s">
        <v>108</v>
      </c>
      <c r="G1141" s="788">
        <f>481*6</f>
        <v>2886</v>
      </c>
      <c r="H1141" s="714" t="s">
        <v>578</v>
      </c>
      <c r="I1141" s="204">
        <f>+S911</f>
        <v>1.07</v>
      </c>
      <c r="J1141" s="204">
        <f>+T911</f>
        <v>0.98130841121495327</v>
      </c>
      <c r="K1141" s="194">
        <f>+E1141*G1141*I1141*J1141</f>
        <v>43560.562500000007</v>
      </c>
      <c r="L1141" s="186" t="s">
        <v>576</v>
      </c>
      <c r="N1141" s="50"/>
      <c r="O1141" s="5"/>
      <c r="P1141" s="9"/>
      <c r="Q1141" s="34"/>
      <c r="R1141" s="5"/>
      <c r="U1141" s="35"/>
    </row>
    <row r="1142" spans="1:21" ht="30" customHeight="1" x14ac:dyDescent="0.35">
      <c r="A1142" s="186">
        <v>93410</v>
      </c>
      <c r="B1142" s="1212" t="s">
        <v>604</v>
      </c>
      <c r="C1142" s="1213"/>
      <c r="D1142" s="1214"/>
      <c r="E1142" s="202">
        <f>+Q928</f>
        <v>11.54</v>
      </c>
      <c r="F1142" s="127" t="s">
        <v>16</v>
      </c>
      <c r="G1142" s="788">
        <v>4709</v>
      </c>
      <c r="H1142" s="714" t="s">
        <v>580</v>
      </c>
      <c r="I1142" s="752">
        <f>+S928</f>
        <v>0.93863689284411045</v>
      </c>
      <c r="J1142" s="186"/>
      <c r="K1142" s="194">
        <f>+E1142*G1142*I1142</f>
        <v>51007.274621769648</v>
      </c>
      <c r="L1142" s="186" t="s">
        <v>576</v>
      </c>
      <c r="M1142" s="50"/>
      <c r="N1142" s="50"/>
      <c r="O1142" s="5"/>
      <c r="P1142" s="9"/>
      <c r="Q1142" s="34"/>
      <c r="R1142" s="5"/>
      <c r="U1142" s="35"/>
    </row>
    <row r="1143" spans="1:21" ht="30" customHeight="1" x14ac:dyDescent="0.35">
      <c r="A1143" s="186">
        <v>93210</v>
      </c>
      <c r="B1143" s="1212" t="s">
        <v>605</v>
      </c>
      <c r="C1143" s="1213"/>
      <c r="D1143" s="1214"/>
      <c r="E1143" s="202">
        <f>+Q930</f>
        <v>149.81</v>
      </c>
      <c r="F1143" s="127" t="s">
        <v>16</v>
      </c>
      <c r="G1143" s="788">
        <v>1063</v>
      </c>
      <c r="H1143" s="714" t="s">
        <v>580</v>
      </c>
      <c r="I1143" s="752">
        <f>+S930</f>
        <v>0.93863689284411045</v>
      </c>
      <c r="J1143" s="186"/>
      <c r="K1143" s="194">
        <f>+E1143*G1143*I1143</f>
        <v>149476.07607074568</v>
      </c>
      <c r="L1143" s="186" t="s">
        <v>576</v>
      </c>
      <c r="M1143" s="50"/>
      <c r="N1143" s="50"/>
      <c r="O1143" s="5"/>
      <c r="P1143" s="9"/>
      <c r="Q1143" s="34"/>
      <c r="R1143" s="5"/>
      <c r="U1143" s="35"/>
    </row>
    <row r="1144" spans="1:21" ht="30" customHeight="1" x14ac:dyDescent="0.35">
      <c r="A1144" s="1511" t="s">
        <v>3028</v>
      </c>
      <c r="B1144" s="1521"/>
      <c r="C1144" s="1521"/>
      <c r="D1144" s="1237"/>
      <c r="E1144" s="194"/>
      <c r="F1144" s="186"/>
      <c r="G1144" s="503"/>
      <c r="H1144" s="534"/>
      <c r="I1144" s="186"/>
      <c r="J1144" s="186" t="s">
        <v>251</v>
      </c>
      <c r="K1144" s="194">
        <f>SUM(K1132:K1143)</f>
        <v>3924394.2334398902</v>
      </c>
      <c r="L1144" s="186" t="s">
        <v>576</v>
      </c>
      <c r="M1144" s="50"/>
      <c r="N1144" s="50"/>
      <c r="O1144" s="5"/>
      <c r="P1144" s="9"/>
      <c r="Q1144" s="34"/>
      <c r="R1144" s="5"/>
      <c r="U1144" s="35"/>
    </row>
    <row r="1145" spans="1:21" ht="30" customHeight="1" thickBot="1" x14ac:dyDescent="0.4">
      <c r="A1145" s="1522"/>
      <c r="B1145" s="1523"/>
      <c r="C1145" s="1523"/>
      <c r="D1145" s="1524"/>
      <c r="E1145" s="503"/>
      <c r="F1145" s="503"/>
      <c r="G1145" s="1366" t="s">
        <v>257</v>
      </c>
      <c r="H1145" s="1367"/>
      <c r="I1145" s="1368"/>
      <c r="J1145" s="560">
        <f>VLOOKUP(B1129,'Mil Cost Premiums for PUCs'!$A$4:$R$285,18,FALSE)</f>
        <v>1.0485669999999998</v>
      </c>
      <c r="K1145" s="193">
        <f>+K1144*J1145</f>
        <v>4114990.2881753645</v>
      </c>
      <c r="L1145" s="186" t="s">
        <v>576</v>
      </c>
      <c r="M1145" s="50"/>
      <c r="N1145" s="50"/>
      <c r="O1145" s="5"/>
      <c r="P1145" s="9"/>
      <c r="Q1145" s="34"/>
      <c r="R1145" s="5"/>
      <c r="U1145" s="35"/>
    </row>
    <row r="1146" spans="1:21" ht="30" customHeight="1" thickBot="1" x14ac:dyDescent="0.4">
      <c r="A1146" s="1199"/>
      <c r="B1146" s="1200"/>
      <c r="C1146" s="1200"/>
      <c r="D1146" s="1200"/>
      <c r="E1146" s="1200"/>
      <c r="F1146" s="1200"/>
      <c r="G1146" s="1200"/>
      <c r="H1146" s="1200"/>
      <c r="I1146" s="1200"/>
      <c r="J1146" s="1200"/>
      <c r="K1146" s="1200"/>
      <c r="L1146" s="1201"/>
      <c r="M1146" s="50"/>
      <c r="N1146" s="50"/>
      <c r="O1146" s="795"/>
      <c r="P1146" s="9"/>
      <c r="Q1146" s="34"/>
      <c r="R1146" s="5"/>
      <c r="U1146" s="35"/>
    </row>
    <row r="1147" spans="1:21" ht="30" customHeight="1" x14ac:dyDescent="0.35">
      <c r="A1147" s="388" t="s">
        <v>1</v>
      </c>
      <c r="B1147" s="389">
        <v>1765</v>
      </c>
      <c r="C1147" s="1205" t="s">
        <v>606</v>
      </c>
      <c r="D1147" s="1206"/>
      <c r="E1147" s="392" t="s">
        <v>3</v>
      </c>
      <c r="F1147" s="393" t="s">
        <v>40</v>
      </c>
      <c r="G1147" s="394" t="s">
        <v>2</v>
      </c>
      <c r="H1147" s="728">
        <v>1</v>
      </c>
      <c r="I1147" s="392" t="s">
        <v>5</v>
      </c>
      <c r="J1147" s="1556" t="s">
        <v>3010</v>
      </c>
      <c r="K1147" s="1556"/>
      <c r="L1147" s="1557"/>
      <c r="M1147" s="50"/>
      <c r="N1147" s="50"/>
      <c r="O1147" s="842"/>
      <c r="P1147" s="9"/>
      <c r="Q1147" s="34"/>
      <c r="R1147" s="5"/>
      <c r="U1147" s="35"/>
    </row>
    <row r="1148" spans="1:21" ht="30" customHeight="1" x14ac:dyDescent="0.35">
      <c r="A1148" s="185" t="s">
        <v>506</v>
      </c>
      <c r="B1148" s="1280" t="s">
        <v>211</v>
      </c>
      <c r="C1148" s="1281"/>
      <c r="D1148" s="1282"/>
      <c r="E1148" s="566" t="s">
        <v>52</v>
      </c>
      <c r="F1148" s="566" t="s">
        <v>53</v>
      </c>
      <c r="G1148" s="1219" t="s">
        <v>54</v>
      </c>
      <c r="H1148" s="1220"/>
      <c r="I1148" s="185" t="s">
        <v>188</v>
      </c>
      <c r="J1148" s="185" t="s">
        <v>195</v>
      </c>
      <c r="K1148" s="1209" t="s">
        <v>180</v>
      </c>
      <c r="L1148" s="1210"/>
      <c r="M1148" s="50"/>
      <c r="N1148" s="50"/>
      <c r="O1148" s="5"/>
      <c r="P1148" s="9"/>
      <c r="Q1148" s="34"/>
      <c r="R1148" s="5"/>
      <c r="U1148" s="35"/>
    </row>
    <row r="1149" spans="1:21" ht="30" customHeight="1" x14ac:dyDescent="0.35">
      <c r="A1149" s="185"/>
      <c r="B1149" s="1202" t="s">
        <v>607</v>
      </c>
      <c r="C1149" s="1203"/>
      <c r="D1149" s="1204"/>
      <c r="E1149" s="566"/>
      <c r="F1149" s="566"/>
      <c r="G1149" s="459"/>
      <c r="H1149" s="460"/>
      <c r="I1149" s="840"/>
      <c r="J1149" s="840"/>
      <c r="K1149" s="566"/>
      <c r="L1149" s="566"/>
      <c r="M1149" s="50"/>
      <c r="N1149" s="50"/>
      <c r="O1149" s="5"/>
      <c r="P1149" s="9"/>
      <c r="Q1149" s="34"/>
      <c r="R1149" s="5"/>
      <c r="U1149" s="35"/>
    </row>
    <row r="1150" spans="1:21" ht="30" customHeight="1" x14ac:dyDescent="0.35">
      <c r="A1150" s="186" t="s">
        <v>465</v>
      </c>
      <c r="B1150" s="1212" t="s">
        <v>608</v>
      </c>
      <c r="C1150" s="1213"/>
      <c r="D1150" s="1214"/>
      <c r="E1150" s="202">
        <f>+Q911</f>
        <v>14.375</v>
      </c>
      <c r="F1150" s="186" t="s">
        <v>108</v>
      </c>
      <c r="G1150" s="788">
        <f>6*468</f>
        <v>2808</v>
      </c>
      <c r="H1150" s="714" t="s">
        <v>609</v>
      </c>
      <c r="I1150" s="204">
        <f>+S911</f>
        <v>1.07</v>
      </c>
      <c r="J1150" s="204">
        <f>+T911</f>
        <v>0.98130841121495327</v>
      </c>
      <c r="K1150" s="194">
        <f>+E1150*G1150*I1150*J1150</f>
        <v>42383.25</v>
      </c>
      <c r="L1150" s="186" t="s">
        <v>40</v>
      </c>
      <c r="M1150" s="50"/>
      <c r="N1150" s="50"/>
      <c r="O1150" s="5"/>
      <c r="P1150" s="9"/>
      <c r="Q1150" s="34"/>
      <c r="R1150" s="5"/>
      <c r="U1150" s="35"/>
    </row>
    <row r="1151" spans="1:21" ht="30" customHeight="1" x14ac:dyDescent="0.35">
      <c r="A1151" s="186" t="s">
        <v>193</v>
      </c>
      <c r="B1151" s="1212" t="s">
        <v>473</v>
      </c>
      <c r="C1151" s="1213"/>
      <c r="D1151" s="1214"/>
      <c r="E1151" s="202">
        <f>+Q915</f>
        <v>1207.5</v>
      </c>
      <c r="F1151" s="127" t="s">
        <v>40</v>
      </c>
      <c r="G1151" s="788">
        <v>6</v>
      </c>
      <c r="H1151" s="714" t="s">
        <v>610</v>
      </c>
      <c r="I1151" s="204">
        <f>+S915</f>
        <v>1.01</v>
      </c>
      <c r="J1151" s="204">
        <f>+T915</f>
        <v>0.98130841121495327</v>
      </c>
      <c r="K1151" s="194">
        <f>+E1151*G1151*I1151*J1151</f>
        <v>7180.6752336448599</v>
      </c>
      <c r="L1151" s="186" t="s">
        <v>40</v>
      </c>
      <c r="M1151" s="50"/>
      <c r="N1151" s="50"/>
      <c r="O1151" s="5"/>
      <c r="P1151" s="9"/>
      <c r="Q1151" s="34"/>
      <c r="R1151" s="5"/>
      <c r="U1151" s="35"/>
    </row>
    <row r="1152" spans="1:21" ht="30" customHeight="1" x14ac:dyDescent="0.35">
      <c r="A1152" s="186" t="s">
        <v>193</v>
      </c>
      <c r="B1152" s="1212" t="s">
        <v>562</v>
      </c>
      <c r="C1152" s="1213"/>
      <c r="D1152" s="1214"/>
      <c r="E1152" s="202">
        <f>+Q917</f>
        <v>1485</v>
      </c>
      <c r="F1152" s="127" t="s">
        <v>40</v>
      </c>
      <c r="G1152" s="788">
        <v>6</v>
      </c>
      <c r="H1152" s="714" t="s">
        <v>610</v>
      </c>
      <c r="I1152" s="204">
        <f t="shared" ref="I1152:J1154" si="18">+S917</f>
        <v>1.01</v>
      </c>
      <c r="J1152" s="204">
        <f t="shared" si="18"/>
        <v>0.98130841121495327</v>
      </c>
      <c r="K1152" s="194">
        <f>+E1152*G1152*I1152*J1152</f>
        <v>8830.8925233644859</v>
      </c>
      <c r="L1152" s="186" t="s">
        <v>40</v>
      </c>
      <c r="M1152" s="50"/>
      <c r="N1152" s="50"/>
      <c r="O1152" s="5"/>
      <c r="P1152" s="9"/>
      <c r="Q1152" s="34"/>
      <c r="R1152" s="5"/>
      <c r="U1152" s="35"/>
    </row>
    <row r="1153" spans="1:21" ht="30" customHeight="1" x14ac:dyDescent="0.35">
      <c r="A1153" s="186" t="s">
        <v>477</v>
      </c>
      <c r="B1153" s="1264" t="s">
        <v>611</v>
      </c>
      <c r="C1153" s="1264"/>
      <c r="D1153" s="1264"/>
      <c r="E1153" s="202">
        <f>+Q918</f>
        <v>207.9</v>
      </c>
      <c r="F1153" s="127" t="s">
        <v>40</v>
      </c>
      <c r="G1153" s="788">
        <f>18*5</f>
        <v>90</v>
      </c>
      <c r="H1153" s="714" t="s">
        <v>610</v>
      </c>
      <c r="I1153" s="204">
        <f t="shared" si="18"/>
        <v>1.01</v>
      </c>
      <c r="J1153" s="204">
        <f t="shared" si="18"/>
        <v>0.98130841121495327</v>
      </c>
      <c r="K1153" s="194">
        <f>+E1153*G1153*I1153*J1153</f>
        <v>18544.874299065421</v>
      </c>
      <c r="L1153" s="186" t="s">
        <v>40</v>
      </c>
      <c r="M1153" s="50"/>
      <c r="O1153" s="5"/>
      <c r="P1153" s="9"/>
      <c r="Q1153" s="34"/>
      <c r="R1153" s="5"/>
      <c r="U1153" s="35"/>
    </row>
    <row r="1154" spans="1:21" ht="30" customHeight="1" x14ac:dyDescent="0.35">
      <c r="A1154" s="186" t="s">
        <v>479</v>
      </c>
      <c r="B1154" s="1212" t="s">
        <v>612</v>
      </c>
      <c r="C1154" s="1213"/>
      <c r="D1154" s="1214"/>
      <c r="E1154" s="202">
        <f>+Q919</f>
        <v>25.849999999999998</v>
      </c>
      <c r="F1154" s="127" t="s">
        <v>28</v>
      </c>
      <c r="G1154" s="788">
        <f>2560*18</f>
        <v>46080</v>
      </c>
      <c r="H1154" s="714" t="s">
        <v>613</v>
      </c>
      <c r="I1154" s="204">
        <f t="shared" si="18"/>
        <v>1.01</v>
      </c>
      <c r="J1154" s="204">
        <f t="shared" si="18"/>
        <v>0.98130841121495327</v>
      </c>
      <c r="K1154" s="194">
        <f>+E1154*G1154*I1154*J1154</f>
        <v>1180592.2093457943</v>
      </c>
      <c r="L1154" s="186" t="s">
        <v>40</v>
      </c>
      <c r="M1154" s="50"/>
      <c r="N1154" s="50"/>
      <c r="O1154" s="5"/>
      <c r="P1154" s="9"/>
      <c r="Q1154" s="34"/>
      <c r="R1154" s="5"/>
      <c r="U1154" s="35"/>
    </row>
    <row r="1155" spans="1:21" ht="30" customHeight="1" x14ac:dyDescent="0.35">
      <c r="A1155" s="186">
        <v>93410</v>
      </c>
      <c r="B1155" s="1212" t="s">
        <v>601</v>
      </c>
      <c r="C1155" s="1213"/>
      <c r="D1155" s="1214"/>
      <c r="E1155" s="201">
        <f>+Q929</f>
        <v>2.91</v>
      </c>
      <c r="F1155" s="127" t="s">
        <v>4</v>
      </c>
      <c r="G1155" s="788">
        <v>11525</v>
      </c>
      <c r="H1155" s="714" t="s">
        <v>614</v>
      </c>
      <c r="I1155" s="752">
        <f>+S929</f>
        <v>0.93863689284411045</v>
      </c>
      <c r="J1155" s="204"/>
      <c r="K1155" s="194">
        <f>+E1155*G1155*I1155</f>
        <v>31479.769452982564</v>
      </c>
      <c r="L1155" s="186" t="s">
        <v>40</v>
      </c>
      <c r="M1155" s="50"/>
      <c r="N1155" s="50"/>
      <c r="O1155" s="5"/>
      <c r="P1155" s="9"/>
      <c r="Q1155" s="34"/>
      <c r="R1155" s="5"/>
      <c r="U1155" s="35"/>
    </row>
    <row r="1156" spans="1:21" ht="30" customHeight="1" x14ac:dyDescent="0.35">
      <c r="A1156" s="186" t="s">
        <v>465</v>
      </c>
      <c r="B1156" s="1212" t="s">
        <v>615</v>
      </c>
      <c r="C1156" s="1213"/>
      <c r="D1156" s="1214"/>
      <c r="E1156" s="202">
        <f>+Q911</f>
        <v>14.375</v>
      </c>
      <c r="F1156" s="186" t="s">
        <v>108</v>
      </c>
      <c r="G1156" s="788">
        <f>481*6</f>
        <v>2886</v>
      </c>
      <c r="H1156" s="714" t="s">
        <v>609</v>
      </c>
      <c r="I1156" s="204">
        <f>+S911</f>
        <v>1.07</v>
      </c>
      <c r="J1156" s="204">
        <f>+T911</f>
        <v>0.98130841121495327</v>
      </c>
      <c r="K1156" s="194">
        <f>+E1156*G1156*I1156*J1156</f>
        <v>43560.562500000007</v>
      </c>
      <c r="L1156" s="186" t="s">
        <v>40</v>
      </c>
      <c r="M1156" s="50"/>
      <c r="N1156" s="50"/>
      <c r="O1156" s="5"/>
      <c r="P1156" s="9"/>
      <c r="Q1156" s="34"/>
      <c r="R1156" s="5"/>
      <c r="U1156" s="35"/>
    </row>
    <row r="1157" spans="1:21" ht="30" customHeight="1" x14ac:dyDescent="0.35">
      <c r="A1157" s="186">
        <v>93410</v>
      </c>
      <c r="B1157" s="1212" t="s">
        <v>616</v>
      </c>
      <c r="C1157" s="1213"/>
      <c r="D1157" s="1214"/>
      <c r="E1157" s="202">
        <f>+Q928</f>
        <v>11.54</v>
      </c>
      <c r="F1157" s="127" t="s">
        <v>16</v>
      </c>
      <c r="G1157" s="788">
        <v>279</v>
      </c>
      <c r="H1157" s="714" t="s">
        <v>617</v>
      </c>
      <c r="I1157" s="752">
        <f>+S928</f>
        <v>0.93863689284411045</v>
      </c>
      <c r="J1157" s="186"/>
      <c r="K1157" s="194">
        <f>+E1157*G1157*I1157</f>
        <v>3022.0916584144684</v>
      </c>
      <c r="L1157" s="186" t="s">
        <v>40</v>
      </c>
      <c r="M1157" s="50"/>
      <c r="N1157" s="50"/>
      <c r="O1157" s="5"/>
      <c r="P1157" s="9"/>
      <c r="Q1157" s="34"/>
      <c r="R1157" s="5"/>
      <c r="U1157" s="35"/>
    </row>
    <row r="1158" spans="1:21" ht="30" customHeight="1" x14ac:dyDescent="0.35">
      <c r="A1158" s="186">
        <v>93210</v>
      </c>
      <c r="B1158" s="1212" t="s">
        <v>618</v>
      </c>
      <c r="C1158" s="1213"/>
      <c r="D1158" s="1214"/>
      <c r="E1158" s="202">
        <f>+Q930</f>
        <v>149.81</v>
      </c>
      <c r="F1158" s="127" t="s">
        <v>16</v>
      </c>
      <c r="G1158" s="788">
        <v>215</v>
      </c>
      <c r="H1158" s="714" t="s">
        <v>617</v>
      </c>
      <c r="I1158" s="752">
        <f>+S930</f>
        <v>0.93863689284411045</v>
      </c>
      <c r="J1158" s="186"/>
      <c r="K1158" s="194">
        <f>+E1158*G1158*I1158</f>
        <v>30232.696477149882</v>
      </c>
      <c r="L1158" s="186" t="s">
        <v>40</v>
      </c>
      <c r="M1158" s="50"/>
      <c r="N1158" s="50"/>
      <c r="O1158" s="5"/>
      <c r="P1158" s="9"/>
      <c r="Q1158" s="34"/>
      <c r="R1158" s="5"/>
      <c r="U1158" s="35"/>
    </row>
    <row r="1159" spans="1:21" ht="30" customHeight="1" x14ac:dyDescent="0.35">
      <c r="A1159" s="1511" t="s">
        <v>3028</v>
      </c>
      <c r="B1159" s="1521"/>
      <c r="C1159" s="1521"/>
      <c r="D1159" s="1237"/>
      <c r="E1159" s="194"/>
      <c r="F1159" s="186"/>
      <c r="G1159" s="503"/>
      <c r="H1159" s="534"/>
      <c r="I1159" s="186"/>
      <c r="J1159" s="186" t="s">
        <v>251</v>
      </c>
      <c r="K1159" s="194">
        <f>SUM(K1150:K1158)</f>
        <v>1365827.021490416</v>
      </c>
      <c r="L1159" s="186" t="s">
        <v>40</v>
      </c>
      <c r="M1159" s="50"/>
      <c r="N1159" s="50"/>
      <c r="O1159" s="797"/>
      <c r="P1159" s="9"/>
      <c r="Q1159" s="34"/>
      <c r="R1159" s="5"/>
      <c r="U1159" s="35"/>
    </row>
    <row r="1160" spans="1:21" ht="30" customHeight="1" thickBot="1" x14ac:dyDescent="0.4">
      <c r="A1160" s="1522"/>
      <c r="B1160" s="1523"/>
      <c r="C1160" s="1523"/>
      <c r="D1160" s="1524"/>
      <c r="E1160" s="503"/>
      <c r="F1160" s="503"/>
      <c r="G1160" s="1366" t="s">
        <v>257</v>
      </c>
      <c r="H1160" s="1367"/>
      <c r="I1160" s="1368"/>
      <c r="J1160" s="560">
        <f>VLOOKUP(B1147,'Mil Cost Premiums for PUCs'!$A$4:$R$285,18,FALSE)</f>
        <v>1.0485669999999998</v>
      </c>
      <c r="K1160" s="193">
        <f>+K1159*J1160</f>
        <v>1432161.1424431407</v>
      </c>
      <c r="L1160" s="186" t="s">
        <v>40</v>
      </c>
      <c r="M1160" s="50"/>
      <c r="N1160" s="50"/>
      <c r="O1160" s="797"/>
      <c r="P1160" s="9"/>
      <c r="Q1160" s="34"/>
      <c r="R1160" s="5"/>
      <c r="U1160" s="35"/>
    </row>
    <row r="1161" spans="1:21" ht="30" customHeight="1" thickBot="1" x14ac:dyDescent="0.4">
      <c r="A1161" s="1199"/>
      <c r="B1161" s="1200"/>
      <c r="C1161" s="1200"/>
      <c r="D1161" s="1200"/>
      <c r="E1161" s="1200"/>
      <c r="F1161" s="1200"/>
      <c r="G1161" s="1200"/>
      <c r="H1161" s="1200"/>
      <c r="I1161" s="1200"/>
      <c r="J1161" s="1200"/>
      <c r="K1161" s="1200"/>
      <c r="L1161" s="1201"/>
      <c r="M1161" s="50"/>
      <c r="N1161" s="50"/>
      <c r="O1161" s="5"/>
      <c r="P1161" s="9"/>
      <c r="Q1161" s="34"/>
      <c r="R1161" s="5"/>
      <c r="U1161" s="35"/>
    </row>
    <row r="1162" spans="1:21" ht="30" customHeight="1" x14ac:dyDescent="0.35">
      <c r="A1162" s="388" t="s">
        <v>1</v>
      </c>
      <c r="B1162" s="389">
        <v>1766</v>
      </c>
      <c r="C1162" s="1205" t="s">
        <v>619</v>
      </c>
      <c r="D1162" s="1206"/>
      <c r="E1162" s="392" t="s">
        <v>3</v>
      </c>
      <c r="F1162" s="393" t="s">
        <v>40</v>
      </c>
      <c r="G1162" s="841" t="s">
        <v>620</v>
      </c>
      <c r="H1162" s="728">
        <v>1</v>
      </c>
      <c r="I1162" s="392" t="s">
        <v>5</v>
      </c>
      <c r="J1162" s="1556" t="s">
        <v>3010</v>
      </c>
      <c r="K1162" s="1556"/>
      <c r="L1162" s="1557"/>
      <c r="M1162" s="50"/>
      <c r="N1162" s="50"/>
      <c r="O1162" s="5"/>
      <c r="P1162" s="9"/>
      <c r="Q1162" s="34"/>
      <c r="R1162" s="5"/>
      <c r="U1162" s="35"/>
    </row>
    <row r="1163" spans="1:21" ht="30" customHeight="1" x14ac:dyDescent="0.35">
      <c r="A1163" s="185" t="s">
        <v>506</v>
      </c>
      <c r="B1163" s="1280" t="s">
        <v>211</v>
      </c>
      <c r="C1163" s="1281"/>
      <c r="D1163" s="1282"/>
      <c r="E1163" s="566" t="s">
        <v>52</v>
      </c>
      <c r="F1163" s="566" t="s">
        <v>53</v>
      </c>
      <c r="G1163" s="1219" t="s">
        <v>54</v>
      </c>
      <c r="H1163" s="1220"/>
      <c r="I1163" s="185" t="s">
        <v>188</v>
      </c>
      <c r="J1163" s="632" t="s">
        <v>195</v>
      </c>
      <c r="K1163" s="1209" t="s">
        <v>180</v>
      </c>
      <c r="L1163" s="1210"/>
      <c r="N1163" s="50"/>
      <c r="O1163" s="5"/>
      <c r="P1163" s="9"/>
      <c r="Q1163" s="34"/>
      <c r="R1163" s="5"/>
      <c r="U1163" s="35"/>
    </row>
    <row r="1164" spans="1:21" ht="30" customHeight="1" x14ac:dyDescent="0.35">
      <c r="A1164" s="185"/>
      <c r="B1164" s="1202" t="s">
        <v>621</v>
      </c>
      <c r="C1164" s="1203"/>
      <c r="D1164" s="1204"/>
      <c r="E1164" s="566"/>
      <c r="F1164" s="566"/>
      <c r="G1164" s="459"/>
      <c r="H1164" s="460"/>
      <c r="I1164" s="672"/>
      <c r="J1164" s="672"/>
      <c r="K1164" s="566"/>
      <c r="L1164" s="566"/>
      <c r="M1164" s="50"/>
      <c r="N1164" s="50"/>
      <c r="P1164" s="9"/>
      <c r="Q1164" s="34"/>
      <c r="R1164" s="5"/>
      <c r="U1164" s="35"/>
    </row>
    <row r="1165" spans="1:21" ht="30" customHeight="1" x14ac:dyDescent="0.35">
      <c r="A1165" s="186" t="s">
        <v>465</v>
      </c>
      <c r="B1165" s="1212" t="s">
        <v>622</v>
      </c>
      <c r="C1165" s="1213"/>
      <c r="D1165" s="1214"/>
      <c r="E1165" s="202">
        <f>+Q910</f>
        <v>11.775</v>
      </c>
      <c r="F1165" s="186" t="s">
        <v>108</v>
      </c>
      <c r="G1165" s="788">
        <f>42*62</f>
        <v>2604</v>
      </c>
      <c r="H1165" s="714" t="s">
        <v>609</v>
      </c>
      <c r="I1165" s="204">
        <f>+S910</f>
        <v>1.07</v>
      </c>
      <c r="J1165" s="204">
        <f>+T910</f>
        <v>0.98130841121495327</v>
      </c>
      <c r="K1165" s="194">
        <f t="shared" ref="K1165:K1176" si="19">+E1165*G1165*I1165*J1165</f>
        <v>32195.205000000005</v>
      </c>
      <c r="L1165" s="186" t="s">
        <v>40</v>
      </c>
      <c r="M1165" s="50"/>
      <c r="N1165" s="50"/>
      <c r="O1165" s="5"/>
      <c r="P1165" s="9"/>
      <c r="Q1165" s="34"/>
      <c r="R1165" s="5"/>
      <c r="U1165" s="35"/>
    </row>
    <row r="1166" spans="1:21" ht="30" customHeight="1" x14ac:dyDescent="0.35">
      <c r="A1166" s="186" t="s">
        <v>193</v>
      </c>
      <c r="B1166" s="1212" t="s">
        <v>470</v>
      </c>
      <c r="C1166" s="1213"/>
      <c r="D1166" s="1214"/>
      <c r="E1166" s="202">
        <f>+Q914</f>
        <v>665</v>
      </c>
      <c r="F1166" s="127" t="s">
        <v>40</v>
      </c>
      <c r="G1166" s="788">
        <v>42</v>
      </c>
      <c r="H1166" s="714" t="s">
        <v>610</v>
      </c>
      <c r="I1166" s="204">
        <f>+S914</f>
        <v>1.01</v>
      </c>
      <c r="J1166" s="204">
        <f>+T914</f>
        <v>0.98130841121495327</v>
      </c>
      <c r="K1166" s="194">
        <f t="shared" si="19"/>
        <v>27682.02336448598</v>
      </c>
      <c r="L1166" s="186" t="s">
        <v>40</v>
      </c>
      <c r="M1166" s="50"/>
      <c r="N1166" s="50"/>
      <c r="O1166" s="5"/>
      <c r="P1166" s="9"/>
      <c r="Q1166" s="34"/>
      <c r="R1166" s="5"/>
      <c r="U1166" s="35"/>
    </row>
    <row r="1167" spans="1:21" ht="30" customHeight="1" x14ac:dyDescent="0.35">
      <c r="A1167" s="186" t="s">
        <v>193</v>
      </c>
      <c r="B1167" s="1264" t="s">
        <v>475</v>
      </c>
      <c r="C1167" s="1264"/>
      <c r="D1167" s="1264"/>
      <c r="E1167" s="202">
        <f>+Q916</f>
        <v>478.5</v>
      </c>
      <c r="F1167" s="127" t="s">
        <v>40</v>
      </c>
      <c r="G1167" s="788">
        <v>42</v>
      </c>
      <c r="H1167" s="714" t="s">
        <v>610</v>
      </c>
      <c r="I1167" s="204">
        <f>+S916</f>
        <v>1.01</v>
      </c>
      <c r="J1167" s="204">
        <f>+T916</f>
        <v>0.98130841121495327</v>
      </c>
      <c r="K1167" s="194">
        <f t="shared" si="19"/>
        <v>19918.568691588785</v>
      </c>
      <c r="L1167" s="186" t="s">
        <v>40</v>
      </c>
      <c r="M1167" s="95"/>
      <c r="N1167" s="50"/>
      <c r="O1167" s="843"/>
      <c r="P1167" s="9"/>
      <c r="Q1167" s="34"/>
      <c r="R1167" s="5"/>
      <c r="U1167" s="35"/>
    </row>
    <row r="1168" spans="1:21" ht="30" customHeight="1" x14ac:dyDescent="0.35">
      <c r="A1168" s="186" t="s">
        <v>465</v>
      </c>
      <c r="B1168" s="1264" t="s">
        <v>623</v>
      </c>
      <c r="C1168" s="1264"/>
      <c r="D1168" s="1264"/>
      <c r="E1168" s="202">
        <f>+Q911</f>
        <v>14.375</v>
      </c>
      <c r="F1168" s="186" t="s">
        <v>108</v>
      </c>
      <c r="G1168" s="788">
        <f>25*468</f>
        <v>11700</v>
      </c>
      <c r="H1168" s="714" t="s">
        <v>609</v>
      </c>
      <c r="I1168" s="204">
        <f>+S911</f>
        <v>1.07</v>
      </c>
      <c r="J1168" s="204">
        <f>+T911</f>
        <v>0.98130841121495327</v>
      </c>
      <c r="K1168" s="194">
        <f t="shared" si="19"/>
        <v>176596.875</v>
      </c>
      <c r="L1168" s="186" t="s">
        <v>40</v>
      </c>
      <c r="M1168" s="50"/>
      <c r="N1168" s="50"/>
      <c r="O1168" s="795"/>
      <c r="P1168" s="9"/>
      <c r="Q1168" s="34"/>
      <c r="R1168" s="5"/>
      <c r="U1168" s="35"/>
    </row>
    <row r="1169" spans="1:21" ht="30" customHeight="1" x14ac:dyDescent="0.35">
      <c r="A1169" s="186" t="s">
        <v>345</v>
      </c>
      <c r="B1169" s="1264" t="s">
        <v>624</v>
      </c>
      <c r="C1169" s="1264"/>
      <c r="D1169" s="1264"/>
      <c r="E1169" s="202">
        <f>+Q912</f>
        <v>22.25</v>
      </c>
      <c r="F1169" s="186" t="s">
        <v>108</v>
      </c>
      <c r="G1169" s="788">
        <f>2152*4</f>
        <v>8608</v>
      </c>
      <c r="H1169" s="714" t="s">
        <v>609</v>
      </c>
      <c r="I1169" s="204">
        <f>+S912</f>
        <v>0.95</v>
      </c>
      <c r="J1169" s="204">
        <f>+T912</f>
        <v>0.98130841121495327</v>
      </c>
      <c r="K1169" s="194">
        <f t="shared" si="19"/>
        <v>178550.63551401871</v>
      </c>
      <c r="L1169" s="186" t="s">
        <v>40</v>
      </c>
      <c r="M1169" s="50"/>
      <c r="N1169" s="50"/>
      <c r="O1169" s="5"/>
      <c r="P1169" s="9"/>
      <c r="Q1169" s="34"/>
      <c r="R1169" s="5"/>
      <c r="U1169" s="35"/>
    </row>
    <row r="1170" spans="1:21" ht="30" customHeight="1" x14ac:dyDescent="0.35">
      <c r="A1170" s="186" t="s">
        <v>345</v>
      </c>
      <c r="B1170" s="1264" t="s">
        <v>625</v>
      </c>
      <c r="C1170" s="1264"/>
      <c r="D1170" s="1264"/>
      <c r="E1170" s="202">
        <f>+Q912</f>
        <v>22.25</v>
      </c>
      <c r="F1170" s="186" t="s">
        <v>108</v>
      </c>
      <c r="G1170" s="788">
        <f>80.7*7</f>
        <v>564.9</v>
      </c>
      <c r="H1170" s="714" t="s">
        <v>609</v>
      </c>
      <c r="I1170" s="204">
        <f>+S912</f>
        <v>0.95</v>
      </c>
      <c r="J1170" s="204">
        <f>+T912</f>
        <v>0.98130841121495327</v>
      </c>
      <c r="K1170" s="194">
        <f t="shared" si="19"/>
        <v>11717.385455607477</v>
      </c>
      <c r="L1170" s="186" t="s">
        <v>40</v>
      </c>
      <c r="M1170" s="50"/>
      <c r="N1170" s="50"/>
      <c r="O1170" s="5"/>
      <c r="P1170" s="9"/>
      <c r="Q1170" s="34"/>
      <c r="R1170" s="5"/>
      <c r="U1170" s="35"/>
    </row>
    <row r="1171" spans="1:21" ht="30" customHeight="1" x14ac:dyDescent="0.35">
      <c r="A1171" s="186" t="s">
        <v>193</v>
      </c>
      <c r="B1171" s="1264" t="s">
        <v>473</v>
      </c>
      <c r="C1171" s="1264"/>
      <c r="D1171" s="1264"/>
      <c r="E1171" s="202">
        <f>+Q915</f>
        <v>1207.5</v>
      </c>
      <c r="F1171" s="127" t="s">
        <v>40</v>
      </c>
      <c r="G1171" s="788">
        <v>36</v>
      </c>
      <c r="H1171" s="714" t="s">
        <v>610</v>
      </c>
      <c r="I1171" s="204">
        <f>+S915</f>
        <v>1.01</v>
      </c>
      <c r="J1171" s="204">
        <f>+T915</f>
        <v>0.98130841121495327</v>
      </c>
      <c r="K1171" s="194">
        <f t="shared" si="19"/>
        <v>43084.051401869154</v>
      </c>
      <c r="L1171" s="186" t="s">
        <v>40</v>
      </c>
      <c r="M1171" s="50"/>
      <c r="N1171" s="50"/>
      <c r="O1171" s="795"/>
      <c r="P1171" s="9"/>
      <c r="Q1171" s="34"/>
      <c r="R1171" s="5"/>
      <c r="U1171" s="35"/>
    </row>
    <row r="1172" spans="1:21" ht="30" customHeight="1" x14ac:dyDescent="0.35">
      <c r="A1172" s="186" t="s">
        <v>333</v>
      </c>
      <c r="B1172" s="1264" t="s">
        <v>626</v>
      </c>
      <c r="C1172" s="1264"/>
      <c r="D1172" s="1264"/>
      <c r="E1172" s="202">
        <f>+Q921</f>
        <v>25.875</v>
      </c>
      <c r="F1172" s="127" t="s">
        <v>28</v>
      </c>
      <c r="G1172" s="788">
        <v>2967</v>
      </c>
      <c r="H1172" s="714" t="s">
        <v>613</v>
      </c>
      <c r="I1172" s="204">
        <f>+S921</f>
        <v>1.01</v>
      </c>
      <c r="J1172" s="204">
        <f>+T921</f>
        <v>0.98130841121495327</v>
      </c>
      <c r="K1172" s="194">
        <f t="shared" si="19"/>
        <v>76089.512207943932</v>
      </c>
      <c r="L1172" s="186" t="s">
        <v>40</v>
      </c>
      <c r="M1172" s="50"/>
      <c r="N1172" s="50"/>
      <c r="O1172" s="5"/>
      <c r="P1172" s="9"/>
      <c r="Q1172" s="34"/>
      <c r="R1172" s="5"/>
      <c r="U1172" s="35"/>
    </row>
    <row r="1173" spans="1:21" ht="30" customHeight="1" x14ac:dyDescent="0.35">
      <c r="A1173" s="186" t="s">
        <v>333</v>
      </c>
      <c r="B1173" s="1264" t="s">
        <v>627</v>
      </c>
      <c r="C1173" s="1264"/>
      <c r="D1173" s="1264"/>
      <c r="E1173" s="202">
        <f>+Q922</f>
        <v>3960</v>
      </c>
      <c r="F1173" s="127" t="s">
        <v>40</v>
      </c>
      <c r="G1173" s="788">
        <v>11</v>
      </c>
      <c r="H1173" s="714" t="s">
        <v>610</v>
      </c>
      <c r="I1173" s="204">
        <f>+S922</f>
        <v>1.01</v>
      </c>
      <c r="J1173" s="204">
        <f>+T922</f>
        <v>0.98130841121495327</v>
      </c>
      <c r="K1173" s="194">
        <f t="shared" si="19"/>
        <v>43173.252336448597</v>
      </c>
      <c r="L1173" s="186" t="s">
        <v>40</v>
      </c>
      <c r="M1173" s="50"/>
      <c r="N1173" s="50"/>
      <c r="O1173" s="5"/>
      <c r="P1173" s="9"/>
      <c r="Q1173" s="34"/>
      <c r="R1173" s="5"/>
      <c r="U1173" s="35"/>
    </row>
    <row r="1174" spans="1:21" ht="30" customHeight="1" x14ac:dyDescent="0.35">
      <c r="A1174" s="186" t="s">
        <v>193</v>
      </c>
      <c r="B1174" s="1264" t="s">
        <v>562</v>
      </c>
      <c r="C1174" s="1264"/>
      <c r="D1174" s="1264"/>
      <c r="E1174" s="202">
        <f>+Q917</f>
        <v>1485</v>
      </c>
      <c r="F1174" s="127" t="s">
        <v>40</v>
      </c>
      <c r="G1174" s="788">
        <v>36</v>
      </c>
      <c r="H1174" s="714" t="s">
        <v>610</v>
      </c>
      <c r="I1174" s="204">
        <f t="shared" ref="I1174:J1176" si="20">+S917</f>
        <v>1.01</v>
      </c>
      <c r="J1174" s="204">
        <f t="shared" si="20"/>
        <v>0.98130841121495327</v>
      </c>
      <c r="K1174" s="194">
        <f t="shared" si="19"/>
        <v>52985.355140186912</v>
      </c>
      <c r="L1174" s="186" t="s">
        <v>40</v>
      </c>
      <c r="N1174" s="50"/>
      <c r="O1174" s="5"/>
      <c r="P1174" s="9"/>
      <c r="Q1174" s="34"/>
      <c r="R1174" s="5"/>
      <c r="U1174" s="35"/>
    </row>
    <row r="1175" spans="1:21" ht="30" customHeight="1" x14ac:dyDescent="0.35">
      <c r="A1175" s="186" t="s">
        <v>477</v>
      </c>
      <c r="B1175" s="1264" t="s">
        <v>628</v>
      </c>
      <c r="C1175" s="1264"/>
      <c r="D1175" s="1264"/>
      <c r="E1175" s="202">
        <f>+Q918</f>
        <v>207.9</v>
      </c>
      <c r="F1175" s="127" t="s">
        <v>40</v>
      </c>
      <c r="G1175" s="844">
        <f>(5*25)+(4*53)</f>
        <v>337</v>
      </c>
      <c r="H1175" s="714" t="s">
        <v>610</v>
      </c>
      <c r="I1175" s="204">
        <f t="shared" si="20"/>
        <v>1.01</v>
      </c>
      <c r="J1175" s="204">
        <f t="shared" si="20"/>
        <v>0.98130841121495327</v>
      </c>
      <c r="K1175" s="194">
        <f t="shared" si="19"/>
        <v>69440.251542056081</v>
      </c>
      <c r="L1175" s="186" t="s">
        <v>40</v>
      </c>
      <c r="M1175" s="95"/>
      <c r="N1175" s="50"/>
      <c r="O1175" s="5"/>
      <c r="P1175" s="9"/>
      <c r="Q1175" s="34"/>
      <c r="R1175" s="5"/>
      <c r="U1175" s="35"/>
    </row>
    <row r="1176" spans="1:21" ht="30" customHeight="1" x14ac:dyDescent="0.35">
      <c r="A1176" s="186" t="s">
        <v>479</v>
      </c>
      <c r="B1176" s="1212" t="s">
        <v>629</v>
      </c>
      <c r="C1176" s="1213"/>
      <c r="D1176" s="1214"/>
      <c r="E1176" s="202">
        <f>+Q919</f>
        <v>25.849999999999998</v>
      </c>
      <c r="F1176" s="127" t="s">
        <v>28</v>
      </c>
      <c r="G1176" s="788">
        <f>5105*78</f>
        <v>398190</v>
      </c>
      <c r="H1176" s="714" t="s">
        <v>613</v>
      </c>
      <c r="I1176" s="204">
        <f t="shared" si="20"/>
        <v>1.01</v>
      </c>
      <c r="J1176" s="204">
        <f t="shared" si="20"/>
        <v>0.98130841121495327</v>
      </c>
      <c r="K1176" s="194">
        <f t="shared" si="19"/>
        <v>10201823.173598131</v>
      </c>
      <c r="L1176" s="186" t="s">
        <v>40</v>
      </c>
      <c r="M1176" s="50"/>
      <c r="N1176" s="50"/>
      <c r="O1176" s="5"/>
      <c r="P1176" s="9"/>
      <c r="Q1176" s="34"/>
      <c r="R1176" s="5"/>
      <c r="U1176" s="35"/>
    </row>
    <row r="1177" spans="1:21" ht="30" customHeight="1" x14ac:dyDescent="0.35">
      <c r="A1177" s="186">
        <v>93410</v>
      </c>
      <c r="B1177" s="1212" t="s">
        <v>630</v>
      </c>
      <c r="C1177" s="1213"/>
      <c r="D1177" s="1214"/>
      <c r="E1177" s="201">
        <f>+Q929</f>
        <v>2.91</v>
      </c>
      <c r="F1177" s="127" t="s">
        <v>4</v>
      </c>
      <c r="G1177" s="788">
        <v>2488</v>
      </c>
      <c r="H1177" s="714" t="s">
        <v>614</v>
      </c>
      <c r="I1177" s="835">
        <f>+S929</f>
        <v>0.93863689284411045</v>
      </c>
      <c r="J1177" s="186"/>
      <c r="K1177" s="194">
        <f>+E1177*G1177*I1177</f>
        <v>6795.8061951427871</v>
      </c>
      <c r="L1177" s="186" t="s">
        <v>40</v>
      </c>
      <c r="M1177" s="50"/>
      <c r="N1177" s="50"/>
      <c r="P1177" s="9"/>
      <c r="Q1177" s="34"/>
      <c r="R1177" s="5"/>
      <c r="U1177" s="35"/>
    </row>
    <row r="1178" spans="1:21" ht="30" customHeight="1" x14ac:dyDescent="0.35">
      <c r="A1178" s="186" t="s">
        <v>465</v>
      </c>
      <c r="B1178" s="1212" t="s">
        <v>631</v>
      </c>
      <c r="C1178" s="1213"/>
      <c r="D1178" s="1214"/>
      <c r="E1178" s="202">
        <f>+Q911</f>
        <v>14.375</v>
      </c>
      <c r="F1178" s="186" t="s">
        <v>108</v>
      </c>
      <c r="G1178" s="788">
        <f>481*2</f>
        <v>962</v>
      </c>
      <c r="H1178" s="714" t="s">
        <v>609</v>
      </c>
      <c r="I1178" s="186">
        <f>+S911</f>
        <v>1.07</v>
      </c>
      <c r="J1178" s="204">
        <f>+T911</f>
        <v>0.98130841121495327</v>
      </c>
      <c r="K1178" s="194">
        <f>+E1178*G1178*I1178*J1178</f>
        <v>14520.1875</v>
      </c>
      <c r="L1178" s="186" t="s">
        <v>40</v>
      </c>
      <c r="M1178" s="50"/>
      <c r="N1178" s="50"/>
      <c r="P1178" s="9"/>
      <c r="Q1178" s="34"/>
      <c r="R1178" s="5"/>
      <c r="U1178" s="35"/>
    </row>
    <row r="1179" spans="1:21" ht="30" customHeight="1" x14ac:dyDescent="0.35">
      <c r="A1179" s="186" t="s">
        <v>465</v>
      </c>
      <c r="B1179" s="1212" t="s">
        <v>632</v>
      </c>
      <c r="C1179" s="1213"/>
      <c r="D1179" s="1214"/>
      <c r="E1179" s="202">
        <f>+Q910</f>
        <v>11.775</v>
      </c>
      <c r="F1179" s="186" t="s">
        <v>108</v>
      </c>
      <c r="G1179" s="788">
        <f>128*10</f>
        <v>1280</v>
      </c>
      <c r="H1179" s="714" t="s">
        <v>609</v>
      </c>
      <c r="I1179" s="186">
        <f>+S910</f>
        <v>1.07</v>
      </c>
      <c r="J1179" s="204">
        <f>+T910</f>
        <v>0.98130841121495327</v>
      </c>
      <c r="K1179" s="194">
        <f>+E1179*G1179*I1179*J1179</f>
        <v>15825.6</v>
      </c>
      <c r="L1179" s="186" t="s">
        <v>40</v>
      </c>
      <c r="M1179" s="50"/>
      <c r="N1179" s="50"/>
      <c r="O1179" s="5"/>
      <c r="P1179" s="9"/>
      <c r="Q1179" s="34"/>
      <c r="R1179" s="5"/>
      <c r="U1179" s="35"/>
    </row>
    <row r="1180" spans="1:21" ht="30" customHeight="1" x14ac:dyDescent="0.35">
      <c r="A1180" s="186">
        <v>93410</v>
      </c>
      <c r="B1180" s="1212" t="s">
        <v>633</v>
      </c>
      <c r="C1180" s="1213"/>
      <c r="D1180" s="1214"/>
      <c r="E1180" s="202">
        <f>+Q928</f>
        <v>11.54</v>
      </c>
      <c r="F1180" s="127" t="s">
        <v>16</v>
      </c>
      <c r="G1180" s="788">
        <v>3662</v>
      </c>
      <c r="H1180" s="714" t="s">
        <v>617</v>
      </c>
      <c r="I1180" s="835">
        <f>+S928</f>
        <v>0.93863689284411045</v>
      </c>
      <c r="J1180" s="186"/>
      <c r="K1180" s="194">
        <f>+E1180*G1180*I1180</f>
        <v>39666.307000407825</v>
      </c>
      <c r="L1180" s="186" t="s">
        <v>40</v>
      </c>
      <c r="M1180" s="50"/>
      <c r="N1180" s="50"/>
      <c r="O1180" s="5"/>
      <c r="P1180" s="9"/>
      <c r="Q1180" s="34"/>
      <c r="R1180" s="5"/>
      <c r="U1180" s="35"/>
    </row>
    <row r="1181" spans="1:21" ht="30" customHeight="1" x14ac:dyDescent="0.35">
      <c r="A1181" s="186">
        <v>93210</v>
      </c>
      <c r="B1181" s="1212" t="s">
        <v>634</v>
      </c>
      <c r="C1181" s="1213"/>
      <c r="D1181" s="1214"/>
      <c r="E1181" s="202">
        <f>+Q930</f>
        <v>149.81</v>
      </c>
      <c r="F1181" s="127" t="s">
        <v>16</v>
      </c>
      <c r="G1181" s="788">
        <v>1063</v>
      </c>
      <c r="H1181" s="714" t="s">
        <v>617</v>
      </c>
      <c r="I1181" s="835">
        <f>+S930</f>
        <v>0.93863689284411045</v>
      </c>
      <c r="J1181" s="186"/>
      <c r="K1181" s="194">
        <f>+E1181*G1181*I1181</f>
        <v>149476.07607074568</v>
      </c>
      <c r="L1181" s="186" t="s">
        <v>40</v>
      </c>
      <c r="M1181" s="50"/>
      <c r="N1181" s="50"/>
      <c r="O1181" s="5"/>
      <c r="P1181" s="9"/>
      <c r="Q1181" s="34"/>
      <c r="R1181" s="5"/>
      <c r="U1181" s="35"/>
    </row>
    <row r="1182" spans="1:21" ht="30" customHeight="1" x14ac:dyDescent="0.35">
      <c r="A1182" s="1511" t="s">
        <v>3028</v>
      </c>
      <c r="B1182" s="1521"/>
      <c r="C1182" s="1521"/>
      <c r="D1182" s="1237"/>
      <c r="E1182" s="194"/>
      <c r="F1182" s="186"/>
      <c r="G1182" s="503"/>
      <c r="H1182" s="534"/>
      <c r="I1182" s="186"/>
      <c r="J1182" s="186" t="s">
        <v>251</v>
      </c>
      <c r="K1182" s="194">
        <f>SUM(K1165:K1181)</f>
        <v>11159540.266018635</v>
      </c>
      <c r="L1182" s="186" t="s">
        <v>40</v>
      </c>
      <c r="M1182" s="50"/>
      <c r="N1182" s="50"/>
      <c r="O1182" s="5"/>
      <c r="P1182" s="9"/>
      <c r="Q1182" s="34"/>
      <c r="R1182" s="5"/>
      <c r="U1182" s="35"/>
    </row>
    <row r="1183" spans="1:21" ht="30" customHeight="1" thickBot="1" x14ac:dyDescent="0.4">
      <c r="A1183" s="1522"/>
      <c r="B1183" s="1523"/>
      <c r="C1183" s="1523"/>
      <c r="D1183" s="1524"/>
      <c r="E1183" s="503"/>
      <c r="F1183" s="503"/>
      <c r="G1183" s="1366" t="s">
        <v>257</v>
      </c>
      <c r="H1183" s="1367"/>
      <c r="I1183" s="1368"/>
      <c r="J1183" s="560">
        <f>VLOOKUP(B1162,'Mil Cost Premiums for PUCs'!$A$4:$R$285,18,FALSE)</f>
        <v>1.0485669999999998</v>
      </c>
      <c r="K1183" s="193">
        <f>+K1182*J1183</f>
        <v>11701525.65811836</v>
      </c>
      <c r="L1183" s="186" t="s">
        <v>40</v>
      </c>
      <c r="M1183" s="50"/>
      <c r="N1183" s="50"/>
      <c r="O1183" s="5"/>
      <c r="P1183" s="9"/>
      <c r="Q1183" s="34"/>
      <c r="R1183" s="5"/>
      <c r="U1183" s="35"/>
    </row>
    <row r="1184" spans="1:21" ht="30" customHeight="1" thickBot="1" x14ac:dyDescent="0.4">
      <c r="A1184" s="1199"/>
      <c r="B1184" s="1200"/>
      <c r="C1184" s="1200"/>
      <c r="D1184" s="1200"/>
      <c r="E1184" s="1200"/>
      <c r="F1184" s="1200"/>
      <c r="G1184" s="1200"/>
      <c r="H1184" s="1200"/>
      <c r="I1184" s="1200"/>
      <c r="J1184" s="1200"/>
      <c r="K1184" s="1200"/>
      <c r="L1184" s="1201"/>
      <c r="M1184" s="50"/>
      <c r="N1184" s="50"/>
      <c r="O1184" s="5"/>
      <c r="P1184" s="9"/>
      <c r="Q1184" s="34"/>
      <c r="R1184" s="5"/>
      <c r="U1184" s="35"/>
    </row>
    <row r="1185" spans="1:21" ht="30" customHeight="1" x14ac:dyDescent="0.35">
      <c r="A1185" s="388" t="s">
        <v>1</v>
      </c>
      <c r="B1185" s="389">
        <v>1767</v>
      </c>
      <c r="C1185" s="1205" t="s">
        <v>635</v>
      </c>
      <c r="D1185" s="1206"/>
      <c r="E1185" s="392" t="s">
        <v>3</v>
      </c>
      <c r="F1185" s="393" t="s">
        <v>40</v>
      </c>
      <c r="G1185" s="394" t="s">
        <v>2</v>
      </c>
      <c r="H1185" s="728" t="s">
        <v>491</v>
      </c>
      <c r="I1185" s="392" t="s">
        <v>5</v>
      </c>
      <c r="J1185" s="1207" t="s">
        <v>636</v>
      </c>
      <c r="K1185" s="1207"/>
      <c r="L1185" s="1208"/>
      <c r="M1185" s="50"/>
      <c r="N1185" s="50"/>
      <c r="P1185" s="9"/>
      <c r="Q1185" s="34"/>
      <c r="R1185" s="5"/>
      <c r="U1185" s="35"/>
    </row>
    <row r="1186" spans="1:21" ht="30" customHeight="1" x14ac:dyDescent="0.35">
      <c r="A1186" s="185" t="s">
        <v>177</v>
      </c>
      <c r="B1186" s="1280" t="s">
        <v>211</v>
      </c>
      <c r="C1186" s="1281"/>
      <c r="D1186" s="1282"/>
      <c r="E1186" s="566" t="s">
        <v>52</v>
      </c>
      <c r="F1186" s="566" t="s">
        <v>53</v>
      </c>
      <c r="G1186" s="1219" t="s">
        <v>54</v>
      </c>
      <c r="H1186" s="1220"/>
      <c r="I1186" s="185" t="s">
        <v>188</v>
      </c>
      <c r="J1186" s="632" t="s">
        <v>195</v>
      </c>
      <c r="K1186" s="1209" t="s">
        <v>180</v>
      </c>
      <c r="L1186" s="1210"/>
      <c r="M1186" s="50"/>
      <c r="N1186" s="50"/>
      <c r="P1186" s="9"/>
      <c r="Q1186" s="34"/>
      <c r="R1186" s="5"/>
      <c r="U1186" s="35"/>
    </row>
    <row r="1187" spans="1:21" ht="30" customHeight="1" thickBot="1" x14ac:dyDescent="0.4">
      <c r="A1187" s="492"/>
      <c r="B1187" s="1511"/>
      <c r="C1187" s="1521"/>
      <c r="D1187" s="1237"/>
      <c r="E1187" s="845"/>
      <c r="F1187" s="845"/>
      <c r="G1187" s="846"/>
      <c r="H1187" s="847"/>
      <c r="I1187" s="848"/>
      <c r="J1187" s="848"/>
      <c r="K1187" s="849" t="s">
        <v>491</v>
      </c>
      <c r="L1187" s="849" t="s">
        <v>40</v>
      </c>
      <c r="M1187" s="50"/>
      <c r="N1187" s="50"/>
      <c r="O1187" s="5"/>
      <c r="P1187" s="9"/>
      <c r="Q1187" s="34"/>
      <c r="R1187" s="5"/>
      <c r="U1187" s="35"/>
    </row>
    <row r="1188" spans="1:21" ht="30" customHeight="1" thickBot="1" x14ac:dyDescent="0.4">
      <c r="A1188" s="1675"/>
      <c r="B1188" s="1676"/>
      <c r="C1188" s="1676"/>
      <c r="D1188" s="1676"/>
      <c r="E1188" s="1676"/>
      <c r="F1188" s="1676"/>
      <c r="G1188" s="1676"/>
      <c r="H1188" s="1676"/>
      <c r="I1188" s="1676"/>
      <c r="J1188" s="1676"/>
      <c r="K1188" s="1676"/>
      <c r="L1188" s="1677"/>
      <c r="M1188" s="50"/>
      <c r="N1188" s="50"/>
      <c r="O1188" s="5"/>
      <c r="P1188" s="9"/>
      <c r="Q1188" s="34"/>
      <c r="R1188" s="5"/>
      <c r="U1188" s="35"/>
    </row>
    <row r="1189" spans="1:21" ht="30" customHeight="1" x14ac:dyDescent="0.35">
      <c r="A1189" s="455" t="s">
        <v>1</v>
      </c>
      <c r="B1189" s="439">
        <v>1768</v>
      </c>
      <c r="C1189" s="1384" t="s">
        <v>637</v>
      </c>
      <c r="D1189" s="1385"/>
      <c r="E1189" s="456" t="s">
        <v>3</v>
      </c>
      <c r="F1189" s="457" t="s">
        <v>40</v>
      </c>
      <c r="G1189" s="458" t="s">
        <v>2</v>
      </c>
      <c r="H1189" s="836">
        <v>1</v>
      </c>
      <c r="I1189" s="456" t="s">
        <v>5</v>
      </c>
      <c r="J1189" s="1556" t="s">
        <v>3010</v>
      </c>
      <c r="K1189" s="1556"/>
      <c r="L1189" s="1557"/>
      <c r="M1189" s="50"/>
      <c r="N1189" s="50"/>
      <c r="P1189" s="9"/>
      <c r="Q1189" s="34"/>
      <c r="R1189" s="5"/>
      <c r="U1189" s="35"/>
    </row>
    <row r="1190" spans="1:21" ht="30" customHeight="1" x14ac:dyDescent="0.35">
      <c r="A1190" s="185" t="s">
        <v>177</v>
      </c>
      <c r="B1190" s="1280" t="s">
        <v>211</v>
      </c>
      <c r="C1190" s="1281"/>
      <c r="D1190" s="1282"/>
      <c r="E1190" s="566" t="s">
        <v>52</v>
      </c>
      <c r="F1190" s="566" t="s">
        <v>53</v>
      </c>
      <c r="G1190" s="1219" t="s">
        <v>54</v>
      </c>
      <c r="H1190" s="1220"/>
      <c r="I1190" s="185" t="s">
        <v>188</v>
      </c>
      <c r="J1190" s="632" t="s">
        <v>195</v>
      </c>
      <c r="K1190" s="1209" t="s">
        <v>180</v>
      </c>
      <c r="L1190" s="1210"/>
      <c r="M1190" s="50"/>
      <c r="N1190" s="50"/>
      <c r="O1190" s="5"/>
      <c r="P1190" s="9"/>
      <c r="Q1190" s="34"/>
      <c r="R1190" s="5"/>
      <c r="U1190" s="35"/>
    </row>
    <row r="1191" spans="1:21" ht="30" customHeight="1" x14ac:dyDescent="0.35">
      <c r="A1191" s="185"/>
      <c r="B1191" s="1212" t="s">
        <v>638</v>
      </c>
      <c r="C1191" s="1213"/>
      <c r="D1191" s="1214"/>
      <c r="E1191" s="566"/>
      <c r="F1191" s="566"/>
      <c r="G1191" s="459"/>
      <c r="H1191" s="460"/>
      <c r="I1191" s="672"/>
      <c r="J1191" s="672"/>
      <c r="K1191" s="566"/>
      <c r="L1191" s="566"/>
      <c r="M1191" s="50"/>
      <c r="N1191" s="50"/>
      <c r="O1191" s="5"/>
      <c r="P1191" s="9"/>
      <c r="Q1191" s="34"/>
      <c r="R1191" s="5"/>
      <c r="U1191" s="35"/>
    </row>
    <row r="1192" spans="1:21" ht="30" customHeight="1" x14ac:dyDescent="0.35">
      <c r="A1192" s="186">
        <v>93410</v>
      </c>
      <c r="B1192" s="1212" t="s">
        <v>616</v>
      </c>
      <c r="C1192" s="1213"/>
      <c r="D1192" s="1214"/>
      <c r="E1192" s="202">
        <f>+Q928</f>
        <v>11.54</v>
      </c>
      <c r="F1192" s="127" t="s">
        <v>16</v>
      </c>
      <c r="G1192" s="715">
        <v>279</v>
      </c>
      <c r="H1192" s="714" t="s">
        <v>617</v>
      </c>
      <c r="I1192" s="752">
        <f>+S928</f>
        <v>0.93863689284411045</v>
      </c>
      <c r="J1192" s="186"/>
      <c r="K1192" s="194">
        <f>+E1192*G1192*I1192</f>
        <v>3022.0916584144684</v>
      </c>
      <c r="L1192" s="186" t="s">
        <v>40</v>
      </c>
      <c r="M1192" s="50"/>
      <c r="N1192" s="50"/>
      <c r="O1192" s="5"/>
      <c r="P1192" s="9"/>
      <c r="Q1192" s="34"/>
      <c r="R1192" s="5"/>
      <c r="U1192" s="35"/>
    </row>
    <row r="1193" spans="1:21" ht="30" customHeight="1" x14ac:dyDescent="0.35">
      <c r="A1193" s="186">
        <v>93210</v>
      </c>
      <c r="B1193" s="1212" t="s">
        <v>618</v>
      </c>
      <c r="C1193" s="1213"/>
      <c r="D1193" s="1214"/>
      <c r="E1193" s="202">
        <f>+Q930</f>
        <v>149.81</v>
      </c>
      <c r="F1193" s="127" t="s">
        <v>16</v>
      </c>
      <c r="G1193" s="715">
        <v>215</v>
      </c>
      <c r="H1193" s="714" t="s">
        <v>617</v>
      </c>
      <c r="I1193" s="752">
        <f>+S930</f>
        <v>0.93863689284411045</v>
      </c>
      <c r="J1193" s="186"/>
      <c r="K1193" s="194">
        <f>+E1193*G1193*I1193</f>
        <v>30232.696477149882</v>
      </c>
      <c r="L1193" s="186" t="s">
        <v>40</v>
      </c>
      <c r="M1193" s="50"/>
      <c r="N1193" s="50"/>
      <c r="O1193" s="5"/>
      <c r="P1193" s="9"/>
      <c r="Q1193" s="34"/>
      <c r="R1193" s="5"/>
      <c r="U1193" s="35"/>
    </row>
    <row r="1194" spans="1:21" ht="30" customHeight="1" x14ac:dyDescent="0.35">
      <c r="A1194" s="1511" t="s">
        <v>3028</v>
      </c>
      <c r="B1194" s="1521"/>
      <c r="C1194" s="1521"/>
      <c r="D1194" s="1237"/>
      <c r="E1194" s="194"/>
      <c r="F1194" s="186"/>
      <c r="G1194" s="503"/>
      <c r="H1194" s="534"/>
      <c r="I1194" s="186"/>
      <c r="J1194" s="186" t="s">
        <v>251</v>
      </c>
      <c r="K1194" s="194">
        <f>SUM(K1192:K1193)</f>
        <v>33254.788135564348</v>
      </c>
      <c r="L1194" s="186" t="s">
        <v>40</v>
      </c>
      <c r="M1194" s="50"/>
      <c r="N1194" s="50"/>
      <c r="O1194" s="5"/>
      <c r="P1194" s="9"/>
      <c r="Q1194" s="34"/>
      <c r="R1194" s="5"/>
      <c r="U1194" s="35"/>
    </row>
    <row r="1195" spans="1:21" ht="30" customHeight="1" thickBot="1" x14ac:dyDescent="0.4">
      <c r="A1195" s="1522"/>
      <c r="B1195" s="1523"/>
      <c r="C1195" s="1523"/>
      <c r="D1195" s="1524"/>
      <c r="E1195" s="114"/>
      <c r="F1195" s="114"/>
      <c r="G1195" s="1366" t="s">
        <v>257</v>
      </c>
      <c r="H1195" s="1367"/>
      <c r="I1195" s="1368"/>
      <c r="J1195" s="850">
        <f>VLOOKUP(B1189,'Mil Cost Premiums for PUCs'!$A$4:$R$285,18,FALSE)</f>
        <v>1.0485669999999998</v>
      </c>
      <c r="K1195" s="115">
        <f>+K1194*J1195</f>
        <v>34869.873430944295</v>
      </c>
      <c r="L1195" s="755" t="s">
        <v>40</v>
      </c>
      <c r="N1195" s="50"/>
      <c r="O1195" s="5"/>
      <c r="P1195" s="9"/>
      <c r="Q1195" s="34"/>
      <c r="R1195" s="5"/>
      <c r="U1195" s="35"/>
    </row>
    <row r="1196" spans="1:21" ht="30" customHeight="1" thickBot="1" x14ac:dyDescent="0.4">
      <c r="A1196" s="1199"/>
      <c r="B1196" s="1200"/>
      <c r="C1196" s="1200"/>
      <c r="D1196" s="1200"/>
      <c r="E1196" s="1200"/>
      <c r="F1196" s="1200"/>
      <c r="G1196" s="1200"/>
      <c r="H1196" s="1200"/>
      <c r="I1196" s="1200"/>
      <c r="J1196" s="1200"/>
      <c r="K1196" s="1200"/>
      <c r="L1196" s="1201"/>
      <c r="M1196" s="95"/>
      <c r="N1196" s="50"/>
      <c r="O1196" s="5"/>
      <c r="P1196" s="9"/>
      <c r="Q1196" s="34"/>
      <c r="R1196" s="5"/>
      <c r="U1196" s="35"/>
    </row>
    <row r="1197" spans="1:21" ht="30" customHeight="1" x14ac:dyDescent="0.35">
      <c r="A1197" s="455" t="s">
        <v>1</v>
      </c>
      <c r="B1197" s="439">
        <v>1769</v>
      </c>
      <c r="C1197" s="1384" t="s">
        <v>639</v>
      </c>
      <c r="D1197" s="1385"/>
      <c r="E1197" s="456" t="s">
        <v>3</v>
      </c>
      <c r="F1197" s="457" t="s">
        <v>40</v>
      </c>
      <c r="G1197" s="851" t="s">
        <v>640</v>
      </c>
      <c r="H1197" s="836">
        <v>1</v>
      </c>
      <c r="I1197" s="456" t="s">
        <v>5</v>
      </c>
      <c r="J1197" s="1556" t="s">
        <v>3010</v>
      </c>
      <c r="K1197" s="1556"/>
      <c r="L1197" s="1557"/>
      <c r="M1197" s="50"/>
      <c r="N1197" s="50"/>
      <c r="O1197" s="5"/>
      <c r="P1197" s="9"/>
      <c r="Q1197" s="34"/>
      <c r="R1197" s="5"/>
      <c r="U1197" s="35"/>
    </row>
    <row r="1198" spans="1:21" ht="30" customHeight="1" x14ac:dyDescent="0.35">
      <c r="A1198" s="185" t="s">
        <v>506</v>
      </c>
      <c r="B1198" s="1280" t="s">
        <v>211</v>
      </c>
      <c r="C1198" s="1281"/>
      <c r="D1198" s="1282"/>
      <c r="E1198" s="566" t="s">
        <v>52</v>
      </c>
      <c r="F1198" s="566" t="s">
        <v>53</v>
      </c>
      <c r="G1198" s="1219" t="s">
        <v>54</v>
      </c>
      <c r="H1198" s="1220"/>
      <c r="I1198" s="185" t="s">
        <v>188</v>
      </c>
      <c r="J1198" s="632" t="s">
        <v>195</v>
      </c>
      <c r="K1198" s="1209" t="s">
        <v>180</v>
      </c>
      <c r="L1198" s="1210"/>
      <c r="M1198" s="50"/>
      <c r="N1198" s="50"/>
      <c r="O1198" s="5"/>
      <c r="P1198" s="9"/>
      <c r="Q1198" s="34"/>
      <c r="R1198" s="5"/>
      <c r="U1198" s="35"/>
    </row>
    <row r="1199" spans="1:21" ht="30" customHeight="1" x14ac:dyDescent="0.35">
      <c r="A1199" s="185"/>
      <c r="B1199" s="1202" t="s">
        <v>641</v>
      </c>
      <c r="C1199" s="1203"/>
      <c r="D1199" s="1204"/>
      <c r="E1199" s="566"/>
      <c r="F1199" s="566"/>
      <c r="G1199" s="459"/>
      <c r="H1199" s="460"/>
      <c r="I1199" s="672"/>
      <c r="J1199" s="672"/>
      <c r="K1199" s="566"/>
      <c r="L1199" s="566"/>
      <c r="M1199" s="50"/>
      <c r="N1199" s="50"/>
      <c r="O1199" s="5"/>
      <c r="P1199" s="9"/>
      <c r="Q1199" s="34"/>
      <c r="R1199" s="5"/>
      <c r="U1199" s="35"/>
    </row>
    <row r="1200" spans="1:21" ht="30" customHeight="1" x14ac:dyDescent="0.35">
      <c r="A1200" s="186" t="s">
        <v>465</v>
      </c>
      <c r="B1200" s="1212" t="s">
        <v>642</v>
      </c>
      <c r="C1200" s="1213"/>
      <c r="D1200" s="1214"/>
      <c r="E1200" s="202">
        <f>+Q910</f>
        <v>11.775</v>
      </c>
      <c r="F1200" s="186" t="s">
        <v>108</v>
      </c>
      <c r="G1200" s="127">
        <f>16*62</f>
        <v>992</v>
      </c>
      <c r="H1200" s="714" t="s">
        <v>609</v>
      </c>
      <c r="I1200" s="204">
        <f>+S910</f>
        <v>1.07</v>
      </c>
      <c r="J1200" s="204">
        <f>+T910</f>
        <v>0.98130841121495327</v>
      </c>
      <c r="K1200" s="194">
        <f t="shared" ref="K1200:K1209" si="21">+E1200*G1200*I1200*J1200</f>
        <v>12264.840000000002</v>
      </c>
      <c r="L1200" s="186" t="s">
        <v>40</v>
      </c>
      <c r="M1200" s="50"/>
      <c r="N1200" s="50"/>
      <c r="O1200" s="5"/>
      <c r="P1200" s="9"/>
      <c r="Q1200" s="34"/>
      <c r="R1200" s="5"/>
      <c r="U1200" s="35"/>
    </row>
    <row r="1201" spans="1:23" s="5" customFormat="1" ht="30" customHeight="1" x14ac:dyDescent="0.35">
      <c r="A1201" s="186" t="s">
        <v>193</v>
      </c>
      <c r="B1201" s="1264" t="s">
        <v>470</v>
      </c>
      <c r="C1201" s="1264"/>
      <c r="D1201" s="1264"/>
      <c r="E1201" s="202">
        <f>+Q914</f>
        <v>665</v>
      </c>
      <c r="F1201" s="127" t="s">
        <v>40</v>
      </c>
      <c r="G1201" s="127">
        <v>16</v>
      </c>
      <c r="H1201" s="714" t="s">
        <v>610</v>
      </c>
      <c r="I1201" s="204">
        <f>+S914</f>
        <v>1.01</v>
      </c>
      <c r="J1201" s="204">
        <f>+T914</f>
        <v>0.98130841121495327</v>
      </c>
      <c r="K1201" s="194">
        <f t="shared" si="21"/>
        <v>10545.532710280373</v>
      </c>
      <c r="L1201" s="186" t="s">
        <v>40</v>
      </c>
      <c r="M1201" s="50"/>
      <c r="N1201" s="57"/>
      <c r="P1201" s="9"/>
      <c r="Q1201" s="34"/>
      <c r="S1201" s="9"/>
      <c r="T1201" s="9"/>
      <c r="U1201" s="35"/>
      <c r="V1201" s="9"/>
      <c r="W1201" s="9"/>
    </row>
    <row r="1202" spans="1:23" ht="30" customHeight="1" x14ac:dyDescent="0.35">
      <c r="A1202" s="186" t="s">
        <v>193</v>
      </c>
      <c r="B1202" s="1264" t="s">
        <v>475</v>
      </c>
      <c r="C1202" s="1264"/>
      <c r="D1202" s="1264"/>
      <c r="E1202" s="202">
        <f>+Q916</f>
        <v>478.5</v>
      </c>
      <c r="F1202" s="127" t="s">
        <v>40</v>
      </c>
      <c r="G1202" s="127">
        <v>16</v>
      </c>
      <c r="H1202" s="714" t="s">
        <v>610</v>
      </c>
      <c r="I1202" s="204">
        <f>+S916</f>
        <v>1.01</v>
      </c>
      <c r="J1202" s="204">
        <f>+T916</f>
        <v>0.98130841121495327</v>
      </c>
      <c r="K1202" s="194">
        <f t="shared" si="21"/>
        <v>7588.026168224299</v>
      </c>
      <c r="L1202" s="186" t="s">
        <v>40</v>
      </c>
      <c r="M1202" s="50"/>
      <c r="N1202" s="50"/>
      <c r="O1202" s="5"/>
      <c r="P1202" s="9"/>
      <c r="Q1202" s="34"/>
      <c r="R1202" s="5"/>
      <c r="U1202" s="35"/>
    </row>
    <row r="1203" spans="1:23" ht="30" customHeight="1" x14ac:dyDescent="0.35">
      <c r="A1203" s="186" t="s">
        <v>345</v>
      </c>
      <c r="B1203" s="1264" t="s">
        <v>643</v>
      </c>
      <c r="C1203" s="1264"/>
      <c r="D1203" s="1264"/>
      <c r="E1203" s="202">
        <f>+Q912</f>
        <v>22.25</v>
      </c>
      <c r="F1203" s="186" t="s">
        <v>108</v>
      </c>
      <c r="G1203" s="127">
        <f>80.7*8</f>
        <v>645.6</v>
      </c>
      <c r="H1203" s="714" t="s">
        <v>609</v>
      </c>
      <c r="I1203" s="204">
        <f>+S912</f>
        <v>0.95</v>
      </c>
      <c r="J1203" s="204">
        <f>+T912</f>
        <v>0.98130841121495327</v>
      </c>
      <c r="K1203" s="194">
        <f t="shared" si="21"/>
        <v>13391.297663551401</v>
      </c>
      <c r="L1203" s="186" t="s">
        <v>40</v>
      </c>
      <c r="M1203" s="50"/>
      <c r="N1203" s="50"/>
      <c r="O1203" s="5"/>
      <c r="P1203" s="9"/>
      <c r="Q1203" s="34"/>
      <c r="R1203" s="5"/>
      <c r="U1203" s="35"/>
    </row>
    <row r="1204" spans="1:23" ht="30" customHeight="1" x14ac:dyDescent="0.35">
      <c r="A1204" s="186" t="s">
        <v>193</v>
      </c>
      <c r="B1204" s="1264" t="s">
        <v>473</v>
      </c>
      <c r="C1204" s="1264"/>
      <c r="D1204" s="1264"/>
      <c r="E1204" s="202">
        <f>+Q915</f>
        <v>1207.5</v>
      </c>
      <c r="F1204" s="127" t="s">
        <v>40</v>
      </c>
      <c r="G1204" s="127">
        <v>8</v>
      </c>
      <c r="H1204" s="714" t="s">
        <v>610</v>
      </c>
      <c r="I1204" s="204">
        <f>+S915</f>
        <v>1.01</v>
      </c>
      <c r="J1204" s="204">
        <f>+T915</f>
        <v>0.98130841121495327</v>
      </c>
      <c r="K1204" s="194">
        <f t="shared" si="21"/>
        <v>9574.2336448598126</v>
      </c>
      <c r="L1204" s="186" t="s">
        <v>40</v>
      </c>
      <c r="M1204" s="50"/>
      <c r="N1204" s="50"/>
      <c r="O1204" s="5"/>
      <c r="P1204" s="9"/>
      <c r="Q1204" s="34"/>
      <c r="R1204" s="5"/>
      <c r="U1204" s="35"/>
    </row>
    <row r="1205" spans="1:23" ht="30" customHeight="1" x14ac:dyDescent="0.35">
      <c r="A1205" s="186" t="s">
        <v>333</v>
      </c>
      <c r="B1205" s="1264" t="s">
        <v>644</v>
      </c>
      <c r="C1205" s="1264"/>
      <c r="D1205" s="1264"/>
      <c r="E1205" s="202">
        <f>+Q921</f>
        <v>25.875</v>
      </c>
      <c r="F1205" s="127" t="s">
        <v>28</v>
      </c>
      <c r="G1205" s="127">
        <f>49*8</f>
        <v>392</v>
      </c>
      <c r="H1205" s="714" t="s">
        <v>613</v>
      </c>
      <c r="I1205" s="204">
        <f>+S921</f>
        <v>1.01</v>
      </c>
      <c r="J1205" s="204">
        <f>+T921</f>
        <v>0.98130841121495327</v>
      </c>
      <c r="K1205" s="194">
        <f t="shared" si="21"/>
        <v>10052.945327102803</v>
      </c>
      <c r="L1205" s="186" t="s">
        <v>40</v>
      </c>
      <c r="M1205" s="50"/>
      <c r="N1205" s="50"/>
      <c r="O1205" s="5"/>
      <c r="P1205" s="9"/>
      <c r="Q1205" s="34"/>
      <c r="R1205" s="5"/>
      <c r="U1205" s="35"/>
    </row>
    <row r="1206" spans="1:23" ht="30" customHeight="1" x14ac:dyDescent="0.35">
      <c r="A1206" s="186" t="s">
        <v>333</v>
      </c>
      <c r="B1206" s="1264" t="s">
        <v>483</v>
      </c>
      <c r="C1206" s="1264"/>
      <c r="D1206" s="1264"/>
      <c r="E1206" s="202">
        <f>+Q922</f>
        <v>3960</v>
      </c>
      <c r="F1206" s="127" t="s">
        <v>40</v>
      </c>
      <c r="G1206" s="127">
        <v>8</v>
      </c>
      <c r="H1206" s="714" t="s">
        <v>610</v>
      </c>
      <c r="I1206" s="204">
        <f>+S922</f>
        <v>1.01</v>
      </c>
      <c r="J1206" s="204">
        <f>+T922</f>
        <v>0.98130841121495327</v>
      </c>
      <c r="K1206" s="194">
        <f t="shared" si="21"/>
        <v>31398.728971962617</v>
      </c>
      <c r="L1206" s="186" t="s">
        <v>40</v>
      </c>
      <c r="M1206" s="50"/>
      <c r="N1206" s="50"/>
      <c r="O1206" s="5"/>
      <c r="P1206" s="9"/>
      <c r="Q1206" s="34"/>
      <c r="R1206" s="5"/>
      <c r="U1206" s="35"/>
    </row>
    <row r="1207" spans="1:23" ht="30" customHeight="1" x14ac:dyDescent="0.35">
      <c r="A1207" s="186" t="s">
        <v>193</v>
      </c>
      <c r="B1207" s="1264" t="s">
        <v>562</v>
      </c>
      <c r="C1207" s="1264"/>
      <c r="D1207" s="1264"/>
      <c r="E1207" s="202">
        <f>+Q917</f>
        <v>1485</v>
      </c>
      <c r="F1207" s="127" t="s">
        <v>40</v>
      </c>
      <c r="G1207" s="127">
        <v>8</v>
      </c>
      <c r="H1207" s="714" t="s">
        <v>610</v>
      </c>
      <c r="I1207" s="204">
        <f t="shared" ref="I1207:J1209" si="22">+S917</f>
        <v>1.01</v>
      </c>
      <c r="J1207" s="204">
        <f t="shared" si="22"/>
        <v>0.98130841121495327</v>
      </c>
      <c r="K1207" s="194">
        <f t="shared" si="21"/>
        <v>11774.52336448598</v>
      </c>
      <c r="L1207" s="186" t="s">
        <v>40</v>
      </c>
      <c r="M1207" s="50"/>
      <c r="N1207" s="50"/>
      <c r="O1207" s="5"/>
      <c r="P1207" s="9"/>
      <c r="Q1207" s="34"/>
      <c r="R1207" s="5"/>
      <c r="U1207" s="35"/>
    </row>
    <row r="1208" spans="1:23" ht="30" customHeight="1" x14ac:dyDescent="0.35">
      <c r="A1208" s="186" t="s">
        <v>477</v>
      </c>
      <c r="B1208" s="1264" t="s">
        <v>545</v>
      </c>
      <c r="C1208" s="1264"/>
      <c r="D1208" s="1264"/>
      <c r="E1208" s="202">
        <f>+Q918</f>
        <v>207.9</v>
      </c>
      <c r="F1208" s="127" t="s">
        <v>40</v>
      </c>
      <c r="G1208" s="127">
        <v>96</v>
      </c>
      <c r="H1208" s="714" t="s">
        <v>610</v>
      </c>
      <c r="I1208" s="204">
        <f t="shared" si="22"/>
        <v>1.01</v>
      </c>
      <c r="J1208" s="204">
        <f t="shared" si="22"/>
        <v>0.98130841121495327</v>
      </c>
      <c r="K1208" s="194">
        <f t="shared" si="21"/>
        <v>19781.19925233645</v>
      </c>
      <c r="L1208" s="186" t="s">
        <v>40</v>
      </c>
      <c r="M1208" s="50"/>
      <c r="N1208" s="50"/>
      <c r="O1208" s="5"/>
      <c r="P1208" s="9"/>
      <c r="Q1208" s="34"/>
      <c r="R1208" s="5"/>
      <c r="U1208" s="35"/>
    </row>
    <row r="1209" spans="1:23" ht="30" customHeight="1" x14ac:dyDescent="0.35">
      <c r="A1209" s="186" t="s">
        <v>479</v>
      </c>
      <c r="B1209" s="1264" t="s">
        <v>645</v>
      </c>
      <c r="C1209" s="1264"/>
      <c r="D1209" s="1264"/>
      <c r="E1209" s="202">
        <f>+Q919</f>
        <v>25.849999999999998</v>
      </c>
      <c r="F1209" s="127" t="s">
        <v>28</v>
      </c>
      <c r="G1209" s="788">
        <f>356*12</f>
        <v>4272</v>
      </c>
      <c r="H1209" s="714" t="s">
        <v>613</v>
      </c>
      <c r="I1209" s="204">
        <f t="shared" si="22"/>
        <v>1.01</v>
      </c>
      <c r="J1209" s="204">
        <f t="shared" si="22"/>
        <v>0.98130841121495327</v>
      </c>
      <c r="K1209" s="194">
        <f t="shared" si="21"/>
        <v>109450.73607476636</v>
      </c>
      <c r="L1209" s="186" t="s">
        <v>40</v>
      </c>
      <c r="M1209" s="50"/>
      <c r="N1209" s="50"/>
      <c r="O1209" s="5"/>
      <c r="P1209" s="9"/>
      <c r="Q1209" s="34"/>
      <c r="R1209" s="5"/>
      <c r="U1209" s="35"/>
    </row>
    <row r="1210" spans="1:23" ht="30" customHeight="1" x14ac:dyDescent="0.35">
      <c r="A1210" s="186">
        <v>93410</v>
      </c>
      <c r="B1210" s="1264" t="s">
        <v>646</v>
      </c>
      <c r="C1210" s="1264"/>
      <c r="D1210" s="1264"/>
      <c r="E1210" s="201">
        <f>+Q929</f>
        <v>2.91</v>
      </c>
      <c r="F1210" s="127" t="s">
        <v>4</v>
      </c>
      <c r="G1210" s="788">
        <v>478</v>
      </c>
      <c r="H1210" s="714" t="s">
        <v>614</v>
      </c>
      <c r="I1210" s="752">
        <f>+S929</f>
        <v>0.93863689284411045</v>
      </c>
      <c r="J1210" s="204"/>
      <c r="K1210" s="194">
        <f>+E1210*G1210*I1210</f>
        <v>1305.6251452083009</v>
      </c>
      <c r="L1210" s="186" t="s">
        <v>40</v>
      </c>
      <c r="M1210" s="50"/>
      <c r="N1210" s="50"/>
      <c r="O1210" s="5"/>
      <c r="P1210" s="9"/>
      <c r="Q1210" s="34"/>
      <c r="R1210" s="5"/>
      <c r="U1210" s="35"/>
    </row>
    <row r="1211" spans="1:23" ht="30" customHeight="1" x14ac:dyDescent="0.35">
      <c r="A1211" s="186" t="s">
        <v>465</v>
      </c>
      <c r="B1211" s="1264" t="s">
        <v>647</v>
      </c>
      <c r="C1211" s="1264"/>
      <c r="D1211" s="1264"/>
      <c r="E1211" s="202">
        <f>+Q911</f>
        <v>14.375</v>
      </c>
      <c r="F1211" s="186" t="s">
        <v>108</v>
      </c>
      <c r="G1211" s="788">
        <f>481*2</f>
        <v>962</v>
      </c>
      <c r="H1211" s="714" t="s">
        <v>609</v>
      </c>
      <c r="I1211" s="204">
        <f>+S911</f>
        <v>1.07</v>
      </c>
      <c r="J1211" s="204">
        <f>+T911</f>
        <v>0.98130841121495327</v>
      </c>
      <c r="K1211" s="194">
        <f>+E1211*G1211*I1211*J1211</f>
        <v>14520.1875</v>
      </c>
      <c r="L1211" s="186" t="s">
        <v>40</v>
      </c>
      <c r="M1211" s="50"/>
      <c r="N1211" s="50"/>
      <c r="O1211" s="5"/>
      <c r="P1211" s="9"/>
      <c r="Q1211" s="34"/>
      <c r="R1211" s="5"/>
      <c r="U1211" s="35"/>
    </row>
    <row r="1212" spans="1:23" ht="30" customHeight="1" x14ac:dyDescent="0.35">
      <c r="A1212" s="186" t="s">
        <v>465</v>
      </c>
      <c r="B1212" s="1264" t="s">
        <v>648</v>
      </c>
      <c r="C1212" s="1264"/>
      <c r="D1212" s="1264"/>
      <c r="E1212" s="202">
        <f>+Q910</f>
        <v>11.775</v>
      </c>
      <c r="F1212" s="186" t="s">
        <v>108</v>
      </c>
      <c r="G1212" s="788">
        <f>128*2</f>
        <v>256</v>
      </c>
      <c r="H1212" s="714" t="s">
        <v>609</v>
      </c>
      <c r="I1212" s="204">
        <f>+S910</f>
        <v>1.07</v>
      </c>
      <c r="J1212" s="204">
        <f>+T910</f>
        <v>0.98130841121495327</v>
      </c>
      <c r="K1212" s="194">
        <f>+E1212*G1212*I1212*J1212</f>
        <v>3165.1200000000003</v>
      </c>
      <c r="L1212" s="186" t="s">
        <v>40</v>
      </c>
      <c r="M1212" s="50"/>
      <c r="N1212" s="50"/>
      <c r="O1212" s="797"/>
      <c r="P1212" s="9"/>
      <c r="Q1212" s="34"/>
      <c r="R1212" s="5"/>
      <c r="U1212" s="35"/>
    </row>
    <row r="1213" spans="1:23" ht="30" customHeight="1" x14ac:dyDescent="0.35">
      <c r="A1213" s="186">
        <v>93410</v>
      </c>
      <c r="B1213" s="1212" t="s">
        <v>649</v>
      </c>
      <c r="C1213" s="1213"/>
      <c r="D1213" s="1214"/>
      <c r="E1213" s="202">
        <f>+Q928</f>
        <v>11.54</v>
      </c>
      <c r="F1213" s="127" t="s">
        <v>16</v>
      </c>
      <c r="G1213" s="788">
        <v>575</v>
      </c>
      <c r="H1213" s="714" t="s">
        <v>617</v>
      </c>
      <c r="I1213" s="835">
        <f>+S928</f>
        <v>0.93863689284411045</v>
      </c>
      <c r="J1213" s="204"/>
      <c r="K1213" s="194">
        <f>+E1213*G1213*I1213</f>
        <v>6228.3251024670944</v>
      </c>
      <c r="L1213" s="186" t="s">
        <v>40</v>
      </c>
      <c r="M1213" s="50"/>
      <c r="N1213" s="50"/>
      <c r="O1213" s="797"/>
      <c r="P1213" s="9"/>
      <c r="Q1213" s="34"/>
      <c r="R1213" s="5"/>
      <c r="U1213" s="35"/>
    </row>
    <row r="1214" spans="1:23" ht="30" customHeight="1" x14ac:dyDescent="0.35">
      <c r="A1214" s="186">
        <v>93210</v>
      </c>
      <c r="B1214" s="1212" t="s">
        <v>650</v>
      </c>
      <c r="C1214" s="1213"/>
      <c r="D1214" s="1214"/>
      <c r="E1214" s="202">
        <f>+Q930</f>
        <v>149.81</v>
      </c>
      <c r="F1214" s="127" t="s">
        <v>16</v>
      </c>
      <c r="G1214" s="788">
        <v>156</v>
      </c>
      <c r="H1214" s="714" t="s">
        <v>617</v>
      </c>
      <c r="I1214" s="752">
        <f>+S930</f>
        <v>0.93863689284411045</v>
      </c>
      <c r="J1214" s="204"/>
      <c r="K1214" s="194">
        <f>+E1214*G1214*I1214</f>
        <v>21936.282095048286</v>
      </c>
      <c r="L1214" s="186" t="s">
        <v>40</v>
      </c>
      <c r="M1214" s="50"/>
      <c r="N1214" s="50"/>
      <c r="O1214" s="5"/>
      <c r="P1214" s="9"/>
      <c r="Q1214" s="34"/>
      <c r="R1214" s="5"/>
      <c r="U1214" s="35"/>
    </row>
    <row r="1215" spans="1:23" ht="30" customHeight="1" x14ac:dyDescent="0.35">
      <c r="A1215" s="1511" t="s">
        <v>3028</v>
      </c>
      <c r="B1215" s="1521"/>
      <c r="C1215" s="1521"/>
      <c r="D1215" s="1237"/>
      <c r="E1215" s="194"/>
      <c r="F1215" s="186"/>
      <c r="G1215" s="503"/>
      <c r="H1215" s="534"/>
      <c r="I1215" s="186"/>
      <c r="J1215" s="186" t="s">
        <v>251</v>
      </c>
      <c r="K1215" s="194">
        <f>SUM(K1200:K1214)</f>
        <v>282977.60302029375</v>
      </c>
      <c r="L1215" s="186" t="s">
        <v>40</v>
      </c>
      <c r="M1215" s="50"/>
      <c r="N1215" s="50"/>
      <c r="O1215" s="5"/>
      <c r="P1215" s="9"/>
      <c r="Q1215" s="34"/>
      <c r="R1215" s="5"/>
      <c r="U1215" s="35"/>
    </row>
    <row r="1216" spans="1:23" ht="30" customHeight="1" thickBot="1" x14ac:dyDescent="0.4">
      <c r="A1216" s="1522"/>
      <c r="B1216" s="1523"/>
      <c r="C1216" s="1523"/>
      <c r="D1216" s="1524"/>
      <c r="E1216" s="503"/>
      <c r="F1216" s="503"/>
      <c r="G1216" s="1366" t="s">
        <v>257</v>
      </c>
      <c r="H1216" s="1367"/>
      <c r="I1216" s="1368"/>
      <c r="J1216" s="560">
        <f>VLOOKUP(B1197,'Mil Cost Premiums for PUCs'!$A$4:$R$285,18,FALSE)</f>
        <v>1.0485669999999998</v>
      </c>
      <c r="K1216" s="193">
        <f>+K1215*J1216</f>
        <v>296720.97626618028</v>
      </c>
      <c r="L1216" s="186" t="s">
        <v>40</v>
      </c>
      <c r="M1216" s="50"/>
      <c r="N1216" s="50"/>
      <c r="O1216" s="5"/>
      <c r="P1216" s="9"/>
      <c r="Q1216" s="34"/>
      <c r="R1216" s="5"/>
      <c r="U1216" s="35"/>
    </row>
    <row r="1217" spans="1:23" ht="30" customHeight="1" thickBot="1" x14ac:dyDescent="0.4">
      <c r="A1217" s="1199"/>
      <c r="B1217" s="1200"/>
      <c r="C1217" s="1200"/>
      <c r="D1217" s="1200"/>
      <c r="E1217" s="1200"/>
      <c r="F1217" s="1200"/>
      <c r="G1217" s="1200"/>
      <c r="H1217" s="1200"/>
      <c r="I1217" s="1200"/>
      <c r="J1217" s="1200"/>
      <c r="K1217" s="1200"/>
      <c r="L1217" s="1201"/>
      <c r="M1217" s="50"/>
      <c r="N1217" s="50"/>
      <c r="O1217" s="5"/>
      <c r="P1217" s="9"/>
      <c r="Q1217" s="34"/>
      <c r="R1217" s="5"/>
      <c r="U1217" s="35"/>
    </row>
    <row r="1218" spans="1:23" ht="30" customHeight="1" x14ac:dyDescent="0.35">
      <c r="A1218" s="388" t="s">
        <v>1</v>
      </c>
      <c r="B1218" s="389">
        <v>1771</v>
      </c>
      <c r="C1218" s="1205" t="s">
        <v>651</v>
      </c>
      <c r="D1218" s="1206"/>
      <c r="E1218" s="392" t="s">
        <v>3</v>
      </c>
      <c r="F1218" s="393" t="s">
        <v>576</v>
      </c>
      <c r="G1218" s="841" t="s">
        <v>652</v>
      </c>
      <c r="H1218" s="728">
        <v>1</v>
      </c>
      <c r="I1218" s="392" t="s">
        <v>5</v>
      </c>
      <c r="J1218" s="1556" t="s">
        <v>3010</v>
      </c>
      <c r="K1218" s="1556"/>
      <c r="L1218" s="1557"/>
      <c r="M1218" s="50"/>
      <c r="N1218" s="50"/>
      <c r="O1218" s="5"/>
      <c r="P1218" s="9"/>
      <c r="Q1218" s="34"/>
      <c r="R1218" s="5"/>
      <c r="U1218" s="35"/>
    </row>
    <row r="1219" spans="1:23" ht="30" customHeight="1" x14ac:dyDescent="0.35">
      <c r="A1219" s="185" t="s">
        <v>506</v>
      </c>
      <c r="B1219" s="1280" t="s">
        <v>211</v>
      </c>
      <c r="C1219" s="1281"/>
      <c r="D1219" s="1282"/>
      <c r="E1219" s="566" t="s">
        <v>52</v>
      </c>
      <c r="F1219" s="566" t="s">
        <v>53</v>
      </c>
      <c r="G1219" s="1219" t="s">
        <v>54</v>
      </c>
      <c r="H1219" s="1220"/>
      <c r="I1219" s="185" t="s">
        <v>188</v>
      </c>
      <c r="J1219" s="632" t="s">
        <v>195</v>
      </c>
      <c r="K1219" s="1209" t="s">
        <v>180</v>
      </c>
      <c r="L1219" s="1210"/>
      <c r="N1219" s="50"/>
      <c r="O1219" s="5"/>
      <c r="P1219" s="9"/>
      <c r="Q1219" s="34"/>
      <c r="R1219" s="5"/>
      <c r="U1219" s="35"/>
    </row>
    <row r="1220" spans="1:23" ht="30" customHeight="1" x14ac:dyDescent="0.35">
      <c r="A1220" s="185"/>
      <c r="B1220" s="1202" t="s">
        <v>653</v>
      </c>
      <c r="C1220" s="1203"/>
      <c r="D1220" s="1204"/>
      <c r="E1220" s="566"/>
      <c r="F1220" s="566"/>
      <c r="G1220" s="459"/>
      <c r="H1220" s="460"/>
      <c r="I1220" s="672"/>
      <c r="J1220" s="672"/>
      <c r="K1220" s="566"/>
      <c r="L1220" s="566"/>
      <c r="M1220" s="95"/>
      <c r="N1220" s="50"/>
      <c r="O1220" s="5"/>
      <c r="P1220" s="9"/>
      <c r="Q1220" s="34"/>
      <c r="R1220" s="5"/>
      <c r="U1220" s="35"/>
    </row>
    <row r="1221" spans="1:23" ht="30" customHeight="1" x14ac:dyDescent="0.35">
      <c r="A1221" s="186" t="s">
        <v>465</v>
      </c>
      <c r="B1221" s="1212" t="s">
        <v>654</v>
      </c>
      <c r="C1221" s="1213"/>
      <c r="D1221" s="1214"/>
      <c r="E1221" s="202">
        <f>+Q910</f>
        <v>11.775</v>
      </c>
      <c r="F1221" s="186" t="s">
        <v>108</v>
      </c>
      <c r="G1221" s="788">
        <f>146*62</f>
        <v>9052</v>
      </c>
      <c r="H1221" s="714" t="s">
        <v>578</v>
      </c>
      <c r="I1221" s="204">
        <f>+S910</f>
        <v>1.07</v>
      </c>
      <c r="J1221" s="204">
        <f>+T910</f>
        <v>0.98130841121495327</v>
      </c>
      <c r="K1221" s="194">
        <f t="shared" ref="K1221:K1232" si="23">+E1221*G1221*I1221*J1221</f>
        <v>111916.66500000001</v>
      </c>
      <c r="L1221" s="186" t="s">
        <v>576</v>
      </c>
      <c r="M1221" s="50"/>
      <c r="N1221" s="50"/>
      <c r="O1221" s="5"/>
      <c r="P1221" s="9"/>
      <c r="Q1221" s="34"/>
      <c r="R1221" s="5"/>
      <c r="U1221" s="35"/>
    </row>
    <row r="1222" spans="1:23" ht="30" customHeight="1" x14ac:dyDescent="0.35">
      <c r="A1222" s="186" t="s">
        <v>193</v>
      </c>
      <c r="B1222" s="1212" t="s">
        <v>470</v>
      </c>
      <c r="C1222" s="1213"/>
      <c r="D1222" s="1214"/>
      <c r="E1222" s="202">
        <f>+Q914</f>
        <v>665</v>
      </c>
      <c r="F1222" s="127" t="s">
        <v>40</v>
      </c>
      <c r="G1222" s="788">
        <v>146</v>
      </c>
      <c r="H1222" s="714" t="s">
        <v>597</v>
      </c>
      <c r="I1222" s="204">
        <f>+S914</f>
        <v>1.01</v>
      </c>
      <c r="J1222" s="204">
        <f>+T914</f>
        <v>0.98130841121495327</v>
      </c>
      <c r="K1222" s="194">
        <f t="shared" si="23"/>
        <v>96227.985981308404</v>
      </c>
      <c r="L1222" s="186" t="s">
        <v>576</v>
      </c>
      <c r="M1222" s="50"/>
      <c r="N1222" s="50"/>
      <c r="O1222" s="5"/>
      <c r="P1222" s="9"/>
      <c r="Q1222" s="34"/>
      <c r="R1222" s="5"/>
      <c r="U1222" s="35"/>
    </row>
    <row r="1223" spans="1:23" ht="30" customHeight="1" x14ac:dyDescent="0.35">
      <c r="A1223" s="186" t="s">
        <v>193</v>
      </c>
      <c r="B1223" s="1264" t="s">
        <v>475</v>
      </c>
      <c r="C1223" s="1264"/>
      <c r="D1223" s="1264"/>
      <c r="E1223" s="202">
        <f>+Q916</f>
        <v>478.5</v>
      </c>
      <c r="F1223" s="127" t="s">
        <v>40</v>
      </c>
      <c r="G1223" s="788">
        <v>146</v>
      </c>
      <c r="H1223" s="714" t="s">
        <v>597</v>
      </c>
      <c r="I1223" s="204">
        <f>+S916</f>
        <v>1.01</v>
      </c>
      <c r="J1223" s="204">
        <f>+T916</f>
        <v>0.98130841121495327</v>
      </c>
      <c r="K1223" s="194">
        <f t="shared" si="23"/>
        <v>69240.738785046735</v>
      </c>
      <c r="L1223" s="186" t="s">
        <v>576</v>
      </c>
      <c r="M1223" s="50"/>
      <c r="N1223" s="50"/>
      <c r="O1223" s="5"/>
      <c r="P1223" s="9"/>
      <c r="Q1223" s="34"/>
      <c r="R1223" s="5"/>
      <c r="U1223" s="35"/>
    </row>
    <row r="1224" spans="1:23" ht="30" customHeight="1" x14ac:dyDescent="0.35">
      <c r="A1224" s="186" t="s">
        <v>465</v>
      </c>
      <c r="B1224" s="1264" t="s">
        <v>655</v>
      </c>
      <c r="C1224" s="1264"/>
      <c r="D1224" s="1264"/>
      <c r="E1224" s="202">
        <f>+Q911</f>
        <v>14.375</v>
      </c>
      <c r="F1224" s="186" t="s">
        <v>108</v>
      </c>
      <c r="G1224" s="788">
        <f>30*468</f>
        <v>14040</v>
      </c>
      <c r="H1224" s="714" t="s">
        <v>578</v>
      </c>
      <c r="I1224" s="204">
        <f>+S911</f>
        <v>1.07</v>
      </c>
      <c r="J1224" s="204">
        <f>+T911</f>
        <v>0.98130841121495327</v>
      </c>
      <c r="K1224" s="194">
        <f t="shared" si="23"/>
        <v>211916.25</v>
      </c>
      <c r="L1224" s="186" t="s">
        <v>576</v>
      </c>
      <c r="M1224" s="50"/>
      <c r="N1224" s="50"/>
      <c r="O1224" s="5"/>
      <c r="P1224" s="9"/>
      <c r="Q1224" s="34"/>
      <c r="R1224" s="5"/>
      <c r="U1224" s="35"/>
    </row>
    <row r="1225" spans="1:23" ht="30" customHeight="1" x14ac:dyDescent="0.35">
      <c r="A1225" s="186" t="s">
        <v>345</v>
      </c>
      <c r="B1225" s="1264" t="s">
        <v>656</v>
      </c>
      <c r="C1225" s="1264"/>
      <c r="D1225" s="1264"/>
      <c r="E1225" s="202">
        <f>+Q912</f>
        <v>22.25</v>
      </c>
      <c r="F1225" s="186" t="s">
        <v>108</v>
      </c>
      <c r="G1225" s="788">
        <f>2152*6</f>
        <v>12912</v>
      </c>
      <c r="H1225" s="714" t="s">
        <v>578</v>
      </c>
      <c r="I1225" s="204">
        <f>+S912</f>
        <v>0.95</v>
      </c>
      <c r="J1225" s="204">
        <f>+T912</f>
        <v>0.98130841121495327</v>
      </c>
      <c r="K1225" s="194">
        <f t="shared" si="23"/>
        <v>267825.953271028</v>
      </c>
      <c r="L1225" s="186" t="s">
        <v>576</v>
      </c>
      <c r="M1225" s="50"/>
      <c r="N1225" s="50"/>
      <c r="O1225" s="5"/>
      <c r="P1225" s="9"/>
      <c r="Q1225" s="34"/>
      <c r="R1225" s="5"/>
      <c r="U1225" s="35"/>
    </row>
    <row r="1226" spans="1:23" s="665" customFormat="1" ht="30" customHeight="1" x14ac:dyDescent="0.35">
      <c r="A1226" s="186" t="s">
        <v>345</v>
      </c>
      <c r="B1226" s="1264" t="s">
        <v>657</v>
      </c>
      <c r="C1226" s="1264"/>
      <c r="D1226" s="1264"/>
      <c r="E1226" s="202">
        <f>+Q912</f>
        <v>22.25</v>
      </c>
      <c r="F1226" s="186" t="s">
        <v>108</v>
      </c>
      <c r="G1226" s="788">
        <f>80.7*4</f>
        <v>322.8</v>
      </c>
      <c r="H1226" s="714" t="s">
        <v>578</v>
      </c>
      <c r="I1226" s="204">
        <f>+S912</f>
        <v>0.95</v>
      </c>
      <c r="J1226" s="204">
        <f>+T912</f>
        <v>0.98130841121495327</v>
      </c>
      <c r="K1226" s="194">
        <f t="shared" si="23"/>
        <v>6695.6488317757003</v>
      </c>
      <c r="L1226" s="186" t="s">
        <v>576</v>
      </c>
      <c r="M1226" s="50"/>
      <c r="N1226" s="100"/>
      <c r="O1226" s="5"/>
      <c r="P1226" s="9"/>
      <c r="Q1226" s="34"/>
      <c r="R1226" s="5"/>
      <c r="S1226" s="9"/>
      <c r="T1226" s="9"/>
      <c r="U1226" s="35"/>
      <c r="V1226" s="9"/>
      <c r="W1226" s="9"/>
    </row>
    <row r="1227" spans="1:23" ht="30" customHeight="1" x14ac:dyDescent="0.35">
      <c r="A1227" s="186" t="s">
        <v>193</v>
      </c>
      <c r="B1227" s="1264" t="s">
        <v>473</v>
      </c>
      <c r="C1227" s="1264"/>
      <c r="D1227" s="1264"/>
      <c r="E1227" s="202">
        <f>+Q915</f>
        <v>1207.5</v>
      </c>
      <c r="F1227" s="127" t="s">
        <v>40</v>
      </c>
      <c r="G1227" s="788">
        <v>40</v>
      </c>
      <c r="H1227" s="714" t="s">
        <v>597</v>
      </c>
      <c r="I1227" s="204">
        <f>+S915</f>
        <v>1.01</v>
      </c>
      <c r="J1227" s="204">
        <f>+T915</f>
        <v>0.98130841121495327</v>
      </c>
      <c r="K1227" s="194">
        <f t="shared" si="23"/>
        <v>47871.168224299065</v>
      </c>
      <c r="L1227" s="186" t="s">
        <v>576</v>
      </c>
      <c r="M1227" s="50"/>
      <c r="N1227" s="50"/>
      <c r="O1227" s="5"/>
      <c r="P1227" s="9"/>
      <c r="Q1227" s="34"/>
      <c r="R1227" s="5"/>
      <c r="U1227" s="35"/>
    </row>
    <row r="1228" spans="1:23" ht="30" customHeight="1" x14ac:dyDescent="0.35">
      <c r="A1228" s="186" t="s">
        <v>333</v>
      </c>
      <c r="B1228" s="1264" t="s">
        <v>658</v>
      </c>
      <c r="C1228" s="1264"/>
      <c r="D1228" s="1264"/>
      <c r="E1228" s="202">
        <f>+Q921</f>
        <v>25.875</v>
      </c>
      <c r="F1228" s="127" t="s">
        <v>28</v>
      </c>
      <c r="G1228" s="788">
        <f>+((656*6)+(49*4))</f>
        <v>4132</v>
      </c>
      <c r="H1228" s="714" t="s">
        <v>599</v>
      </c>
      <c r="I1228" s="204">
        <f>+S921</f>
        <v>1.01</v>
      </c>
      <c r="J1228" s="204">
        <f>+T921</f>
        <v>0.98130841121495327</v>
      </c>
      <c r="K1228" s="194">
        <f t="shared" si="23"/>
        <v>105966.25023364485</v>
      </c>
      <c r="L1228" s="186" t="s">
        <v>576</v>
      </c>
      <c r="M1228" s="50"/>
      <c r="N1228" s="50"/>
      <c r="O1228" s="5"/>
      <c r="P1228" s="9"/>
      <c r="Q1228" s="34"/>
      <c r="R1228" s="5"/>
      <c r="U1228" s="35"/>
    </row>
    <row r="1229" spans="1:23" ht="30" customHeight="1" x14ac:dyDescent="0.35">
      <c r="A1229" s="186" t="s">
        <v>333</v>
      </c>
      <c r="B1229" s="1264" t="s">
        <v>627</v>
      </c>
      <c r="C1229" s="1264"/>
      <c r="D1229" s="1264"/>
      <c r="E1229" s="202">
        <f>+Q922</f>
        <v>3960</v>
      </c>
      <c r="F1229" s="127" t="s">
        <v>40</v>
      </c>
      <c r="G1229" s="788">
        <v>10</v>
      </c>
      <c r="H1229" s="714" t="s">
        <v>597</v>
      </c>
      <c r="I1229" s="204">
        <f>+S922</f>
        <v>1.01</v>
      </c>
      <c r="J1229" s="204">
        <f>+T922</f>
        <v>0.98130841121495327</v>
      </c>
      <c r="K1229" s="194">
        <f t="shared" si="23"/>
        <v>39248.411214953274</v>
      </c>
      <c r="L1229" s="186" t="s">
        <v>576</v>
      </c>
      <c r="M1229" s="50"/>
      <c r="N1229" s="50"/>
      <c r="O1229" s="5"/>
      <c r="P1229" s="9"/>
      <c r="Q1229" s="34"/>
      <c r="R1229" s="5"/>
      <c r="U1229" s="35"/>
    </row>
    <row r="1230" spans="1:23" ht="30" customHeight="1" x14ac:dyDescent="0.35">
      <c r="A1230" s="186" t="s">
        <v>193</v>
      </c>
      <c r="B1230" s="1264" t="s">
        <v>562</v>
      </c>
      <c r="C1230" s="1264"/>
      <c r="D1230" s="1264"/>
      <c r="E1230" s="202">
        <f>+Q917</f>
        <v>1485</v>
      </c>
      <c r="F1230" s="127" t="s">
        <v>40</v>
      </c>
      <c r="G1230" s="788">
        <v>40</v>
      </c>
      <c r="H1230" s="714" t="s">
        <v>597</v>
      </c>
      <c r="I1230" s="204">
        <f t="shared" ref="I1230:J1232" si="24">+S917</f>
        <v>1.01</v>
      </c>
      <c r="J1230" s="204">
        <f t="shared" si="24"/>
        <v>0.98130841121495327</v>
      </c>
      <c r="K1230" s="194">
        <f t="shared" si="23"/>
        <v>58872.616822429904</v>
      </c>
      <c r="L1230" s="186" t="s">
        <v>576</v>
      </c>
      <c r="M1230" s="50"/>
      <c r="N1230" s="50"/>
      <c r="P1230" s="9"/>
      <c r="Q1230" s="34"/>
      <c r="R1230" s="5"/>
      <c r="U1230" s="35"/>
    </row>
    <row r="1231" spans="1:23" ht="30" customHeight="1" x14ac:dyDescent="0.35">
      <c r="A1231" s="186" t="s">
        <v>477</v>
      </c>
      <c r="B1231" s="1264" t="s">
        <v>628</v>
      </c>
      <c r="C1231" s="1264"/>
      <c r="D1231" s="1264"/>
      <c r="E1231" s="202">
        <f>+Q918</f>
        <v>207.9</v>
      </c>
      <c r="F1231" s="127" t="s">
        <v>40</v>
      </c>
      <c r="G1231" s="788">
        <v>774</v>
      </c>
      <c r="H1231" s="714" t="s">
        <v>597</v>
      </c>
      <c r="I1231" s="204">
        <f t="shared" si="24"/>
        <v>1.01</v>
      </c>
      <c r="J1231" s="204">
        <f t="shared" si="24"/>
        <v>0.98130841121495327</v>
      </c>
      <c r="K1231" s="194">
        <f t="shared" si="23"/>
        <v>159485.91897196262</v>
      </c>
      <c r="L1231" s="186" t="s">
        <v>576</v>
      </c>
      <c r="M1231" s="50"/>
      <c r="N1231" s="50"/>
      <c r="O1231" s="5"/>
      <c r="P1231" s="9"/>
      <c r="Q1231" s="34"/>
      <c r="R1231" s="5"/>
      <c r="U1231" s="5"/>
      <c r="V1231" s="5"/>
      <c r="W1231" s="5"/>
    </row>
    <row r="1232" spans="1:23" ht="30" customHeight="1" x14ac:dyDescent="0.35">
      <c r="A1232" s="186" t="s">
        <v>479</v>
      </c>
      <c r="B1232" s="1212" t="s">
        <v>629</v>
      </c>
      <c r="C1232" s="1213"/>
      <c r="D1232" s="1214"/>
      <c r="E1232" s="202">
        <f>+Q919</f>
        <v>25.849999999999998</v>
      </c>
      <c r="F1232" s="127" t="s">
        <v>28</v>
      </c>
      <c r="G1232" s="788">
        <v>165233</v>
      </c>
      <c r="H1232" s="714" t="s">
        <v>599</v>
      </c>
      <c r="I1232" s="204">
        <f t="shared" si="24"/>
        <v>1.01</v>
      </c>
      <c r="J1232" s="204">
        <f t="shared" si="24"/>
        <v>0.98130841121495327</v>
      </c>
      <c r="K1232" s="194">
        <f t="shared" si="23"/>
        <v>4233350.5322663542</v>
      </c>
      <c r="L1232" s="186" t="s">
        <v>576</v>
      </c>
      <c r="M1232" s="50"/>
      <c r="N1232" s="50"/>
      <c r="O1232" s="5"/>
      <c r="P1232" s="5"/>
      <c r="Q1232" s="852"/>
      <c r="R1232" s="5"/>
      <c r="S1232" s="5"/>
      <c r="T1232" s="5"/>
      <c r="U1232" s="35"/>
    </row>
    <row r="1233" spans="1:21" ht="30" customHeight="1" x14ac:dyDescent="0.35">
      <c r="A1233" s="186">
        <v>93410</v>
      </c>
      <c r="B1233" s="1212" t="s">
        <v>659</v>
      </c>
      <c r="C1233" s="1213"/>
      <c r="D1233" s="1214"/>
      <c r="E1233" s="201">
        <f>+Q929</f>
        <v>2.91</v>
      </c>
      <c r="F1233" s="127" t="s">
        <v>4</v>
      </c>
      <c r="G1233" s="788">
        <v>2488</v>
      </c>
      <c r="H1233" s="714" t="s">
        <v>602</v>
      </c>
      <c r="I1233" s="752">
        <f>+S929</f>
        <v>0.93863689284411045</v>
      </c>
      <c r="J1233" s="186"/>
      <c r="K1233" s="194">
        <f>+E1233*G1233*I1233</f>
        <v>6795.8061951427871</v>
      </c>
      <c r="L1233" s="186" t="s">
        <v>576</v>
      </c>
      <c r="M1233" s="50"/>
      <c r="N1233" s="50"/>
      <c r="O1233" s="797"/>
      <c r="P1233" s="9"/>
      <c r="Q1233" s="34"/>
      <c r="R1233" s="5"/>
      <c r="U1233" s="35"/>
    </row>
    <row r="1234" spans="1:21" ht="30" customHeight="1" x14ac:dyDescent="0.35">
      <c r="A1234" s="186" t="s">
        <v>465</v>
      </c>
      <c r="B1234" s="1212" t="s">
        <v>660</v>
      </c>
      <c r="C1234" s="1213"/>
      <c r="D1234" s="1214"/>
      <c r="E1234" s="202">
        <f>+Q911</f>
        <v>14.375</v>
      </c>
      <c r="F1234" s="186" t="s">
        <v>108</v>
      </c>
      <c r="G1234" s="788">
        <f>481*8</f>
        <v>3848</v>
      </c>
      <c r="H1234" s="714" t="s">
        <v>578</v>
      </c>
      <c r="I1234" s="186">
        <f>+S911</f>
        <v>1.07</v>
      </c>
      <c r="J1234" s="204">
        <f>+T911</f>
        <v>0.98130841121495327</v>
      </c>
      <c r="K1234" s="194">
        <f>+E1234*G1234*I1234*J1234</f>
        <v>58080.75</v>
      </c>
      <c r="L1234" s="186" t="s">
        <v>576</v>
      </c>
      <c r="M1234" s="50"/>
      <c r="N1234" s="50"/>
      <c r="O1234" s="797"/>
      <c r="P1234" s="9"/>
      <c r="Q1234" s="34"/>
      <c r="R1234" s="5"/>
      <c r="U1234" s="35"/>
    </row>
    <row r="1235" spans="1:21" ht="30" customHeight="1" x14ac:dyDescent="0.35">
      <c r="A1235" s="186">
        <v>93410</v>
      </c>
      <c r="B1235" s="1212" t="s">
        <v>661</v>
      </c>
      <c r="C1235" s="1213"/>
      <c r="D1235" s="1214"/>
      <c r="E1235" s="202">
        <f>+Q928</f>
        <v>11.54</v>
      </c>
      <c r="F1235" s="127" t="s">
        <v>16</v>
      </c>
      <c r="G1235" s="788">
        <v>5713</v>
      </c>
      <c r="H1235" s="714" t="s">
        <v>580</v>
      </c>
      <c r="I1235" s="752">
        <f>+S928</f>
        <v>0.93863689284411045</v>
      </c>
      <c r="J1235" s="186"/>
      <c r="K1235" s="194">
        <f>+E1235*G1235*I1235</f>
        <v>61882.471844164364</v>
      </c>
      <c r="L1235" s="186" t="s">
        <v>576</v>
      </c>
      <c r="M1235" s="50"/>
      <c r="N1235" s="50"/>
      <c r="O1235" s="5"/>
      <c r="P1235" s="9"/>
      <c r="Q1235" s="34"/>
      <c r="R1235" s="5"/>
      <c r="U1235" s="35"/>
    </row>
    <row r="1236" spans="1:21" ht="30" customHeight="1" x14ac:dyDescent="0.35">
      <c r="A1236" s="186" t="s">
        <v>221</v>
      </c>
      <c r="B1236" s="1212" t="s">
        <v>662</v>
      </c>
      <c r="C1236" s="1213"/>
      <c r="D1236" s="1214"/>
      <c r="E1236" s="201">
        <f>+Q909</f>
        <v>3983</v>
      </c>
      <c r="F1236" s="127" t="s">
        <v>40</v>
      </c>
      <c r="G1236" s="788">
        <v>2</v>
      </c>
      <c r="H1236" s="714" t="s">
        <v>597</v>
      </c>
      <c r="I1236" s="186">
        <f>+S909</f>
        <v>1.1000000000000001</v>
      </c>
      <c r="J1236" s="204">
        <f>+T909</f>
        <v>0.98130841121495327</v>
      </c>
      <c r="K1236" s="194">
        <f>+E1236*G1236*I1236*J1236</f>
        <v>8598.8130841121492</v>
      </c>
      <c r="L1236" s="186" t="s">
        <v>576</v>
      </c>
      <c r="M1236" s="50"/>
      <c r="N1236" s="50"/>
      <c r="O1236" s="5"/>
      <c r="P1236" s="9"/>
      <c r="Q1236" s="34"/>
      <c r="R1236" s="5"/>
      <c r="U1236" s="35"/>
    </row>
    <row r="1237" spans="1:21" ht="30" customHeight="1" x14ac:dyDescent="0.35">
      <c r="A1237" s="186">
        <v>93210</v>
      </c>
      <c r="B1237" s="1212" t="s">
        <v>663</v>
      </c>
      <c r="C1237" s="1213"/>
      <c r="D1237" s="1214"/>
      <c r="E1237" s="202">
        <f>+Q930</f>
        <v>149.81</v>
      </c>
      <c r="F1237" s="127" t="s">
        <v>16</v>
      </c>
      <c r="G1237" s="788">
        <v>7850</v>
      </c>
      <c r="H1237" s="714" t="s">
        <v>580</v>
      </c>
      <c r="I1237" s="752">
        <f>+S930</f>
        <v>0.93863689284411045</v>
      </c>
      <c r="J1237" s="186"/>
      <c r="K1237" s="194">
        <f>+E1237*G1237*I1237</f>
        <v>1103844.964398263</v>
      </c>
      <c r="L1237" s="186" t="s">
        <v>576</v>
      </c>
      <c r="M1237" s="50"/>
      <c r="N1237" s="50"/>
      <c r="O1237" s="5"/>
      <c r="P1237" s="9"/>
      <c r="Q1237" s="34"/>
      <c r="R1237" s="5"/>
      <c r="U1237" s="35"/>
    </row>
    <row r="1238" spans="1:21" ht="30" customHeight="1" x14ac:dyDescent="0.35">
      <c r="A1238" s="186" t="s">
        <v>461</v>
      </c>
      <c r="B1238" s="1212" t="s">
        <v>664</v>
      </c>
      <c r="C1238" s="1213"/>
      <c r="D1238" s="1214"/>
      <c r="E1238" s="201">
        <f>+Q908</f>
        <v>25.75</v>
      </c>
      <c r="F1238" s="127" t="s">
        <v>108</v>
      </c>
      <c r="G1238" s="788">
        <v>2800</v>
      </c>
      <c r="H1238" s="714" t="s">
        <v>578</v>
      </c>
      <c r="I1238" s="773">
        <f>+S908</f>
        <v>1.03</v>
      </c>
      <c r="J1238" s="204">
        <f>+T908</f>
        <v>0.98130841121495327</v>
      </c>
      <c r="K1238" s="194">
        <f>+E1238*G1238*I1238*J1238</f>
        <v>72874.90654205608</v>
      </c>
      <c r="L1238" s="186" t="s">
        <v>576</v>
      </c>
      <c r="M1238" s="50"/>
      <c r="N1238" s="50"/>
      <c r="O1238" s="5"/>
      <c r="P1238" s="9"/>
      <c r="Q1238" s="34"/>
      <c r="R1238" s="5"/>
      <c r="U1238" s="35"/>
    </row>
    <row r="1239" spans="1:21" ht="30" customHeight="1" x14ac:dyDescent="0.35">
      <c r="A1239" s="1511" t="s">
        <v>3028</v>
      </c>
      <c r="B1239" s="1521"/>
      <c r="C1239" s="1521"/>
      <c r="D1239" s="1237"/>
      <c r="E1239" s="194"/>
      <c r="F1239" s="186"/>
      <c r="G1239" s="503"/>
      <c r="H1239" s="534"/>
      <c r="I1239" s="186"/>
      <c r="J1239" s="186" t="s">
        <v>251</v>
      </c>
      <c r="K1239" s="194">
        <f>SUM(K1221:K1238)</f>
        <v>6720695.8516665418</v>
      </c>
      <c r="L1239" s="186" t="s">
        <v>576</v>
      </c>
      <c r="M1239" s="50"/>
      <c r="N1239" s="50"/>
      <c r="O1239" s="5"/>
      <c r="P1239" s="9"/>
      <c r="Q1239" s="34"/>
      <c r="R1239" s="5"/>
      <c r="U1239" s="35"/>
    </row>
    <row r="1240" spans="1:21" ht="30" customHeight="1" thickBot="1" x14ac:dyDescent="0.4">
      <c r="A1240" s="1522"/>
      <c r="B1240" s="1523"/>
      <c r="C1240" s="1523"/>
      <c r="D1240" s="1524"/>
      <c r="E1240" s="503"/>
      <c r="F1240" s="503"/>
      <c r="G1240" s="1366" t="s">
        <v>257</v>
      </c>
      <c r="H1240" s="1367"/>
      <c r="I1240" s="1368"/>
      <c r="J1240" s="560">
        <f>VLOOKUP(B1218,'Mil Cost Premiums for PUCs'!$A$4:$R$285,18,FALSE)</f>
        <v>1.0821211439999998</v>
      </c>
      <c r="K1240" s="193">
        <f>+K1239*J1240</f>
        <v>7272607.0834814515</v>
      </c>
      <c r="L1240" s="186" t="s">
        <v>576</v>
      </c>
      <c r="M1240" s="50"/>
      <c r="N1240" s="50"/>
      <c r="O1240" s="5"/>
      <c r="P1240" s="9"/>
      <c r="Q1240" s="34"/>
      <c r="R1240" s="5"/>
      <c r="U1240" s="35"/>
    </row>
    <row r="1241" spans="1:21" ht="30" customHeight="1" thickBot="1" x14ac:dyDescent="0.4">
      <c r="A1241" s="1199"/>
      <c r="B1241" s="1200"/>
      <c r="C1241" s="1200"/>
      <c r="D1241" s="1200"/>
      <c r="E1241" s="1200"/>
      <c r="F1241" s="1200"/>
      <c r="G1241" s="1200"/>
      <c r="H1241" s="1200"/>
      <c r="I1241" s="1200"/>
      <c r="J1241" s="1200"/>
      <c r="K1241" s="1200"/>
      <c r="L1241" s="1201"/>
      <c r="M1241" s="50"/>
      <c r="N1241" s="50"/>
      <c r="O1241" s="5"/>
      <c r="P1241" s="9"/>
      <c r="Q1241" s="34"/>
      <c r="R1241" s="5"/>
      <c r="U1241" s="35"/>
    </row>
    <row r="1242" spans="1:21" ht="30" customHeight="1" x14ac:dyDescent="0.35">
      <c r="A1242" s="388" t="s">
        <v>1</v>
      </c>
      <c r="B1242" s="389">
        <v>1772</v>
      </c>
      <c r="C1242" s="1205" t="s">
        <v>665</v>
      </c>
      <c r="D1242" s="1206"/>
      <c r="E1242" s="392" t="s">
        <v>3</v>
      </c>
      <c r="F1242" s="393" t="s">
        <v>40</v>
      </c>
      <c r="G1242" s="841" t="s">
        <v>666</v>
      </c>
      <c r="H1242" s="728">
        <v>1</v>
      </c>
      <c r="I1242" s="392" t="s">
        <v>5</v>
      </c>
      <c r="J1242" s="1556" t="s">
        <v>3010</v>
      </c>
      <c r="K1242" s="1556"/>
      <c r="L1242" s="1557"/>
      <c r="M1242" s="50"/>
      <c r="N1242" s="50"/>
      <c r="P1242" s="9"/>
      <c r="Q1242" s="34"/>
      <c r="R1242" s="5"/>
      <c r="U1242" s="35"/>
    </row>
    <row r="1243" spans="1:21" ht="30" customHeight="1" x14ac:dyDescent="0.35">
      <c r="A1243" s="185" t="s">
        <v>506</v>
      </c>
      <c r="B1243" s="1280" t="s">
        <v>211</v>
      </c>
      <c r="C1243" s="1281"/>
      <c r="D1243" s="1282"/>
      <c r="E1243" s="566" t="s">
        <v>52</v>
      </c>
      <c r="F1243" s="566" t="s">
        <v>53</v>
      </c>
      <c r="G1243" s="1219" t="s">
        <v>54</v>
      </c>
      <c r="H1243" s="1220"/>
      <c r="I1243" s="185" t="s">
        <v>188</v>
      </c>
      <c r="J1243" s="632" t="s">
        <v>195</v>
      </c>
      <c r="K1243" s="1209" t="s">
        <v>180</v>
      </c>
      <c r="L1243" s="1210"/>
      <c r="M1243" s="50"/>
      <c r="N1243" s="50"/>
      <c r="O1243" s="5"/>
      <c r="P1243" s="9"/>
      <c r="Q1243" s="34"/>
      <c r="R1243" s="5"/>
      <c r="U1243" s="35"/>
    </row>
    <row r="1244" spans="1:21" ht="30" customHeight="1" x14ac:dyDescent="0.35">
      <c r="A1244" s="185"/>
      <c r="B1244" s="1202" t="s">
        <v>667</v>
      </c>
      <c r="C1244" s="1203"/>
      <c r="D1244" s="1204"/>
      <c r="E1244" s="566"/>
      <c r="F1244" s="566"/>
      <c r="G1244" s="459"/>
      <c r="H1244" s="460"/>
      <c r="I1244" s="672"/>
      <c r="J1244" s="672"/>
      <c r="K1244" s="566"/>
      <c r="L1244" s="566"/>
      <c r="M1244" s="50"/>
      <c r="N1244" s="50"/>
      <c r="O1244" s="5"/>
      <c r="P1244" s="9"/>
      <c r="Q1244" s="34"/>
      <c r="R1244" s="5"/>
      <c r="U1244" s="35"/>
    </row>
    <row r="1245" spans="1:21" ht="30" customHeight="1" x14ac:dyDescent="0.35">
      <c r="A1245" s="186" t="s">
        <v>465</v>
      </c>
      <c r="B1245" s="1212" t="s">
        <v>668</v>
      </c>
      <c r="C1245" s="1213"/>
      <c r="D1245" s="1214"/>
      <c r="E1245" s="202">
        <f>+Q910</f>
        <v>11.775</v>
      </c>
      <c r="F1245" s="186" t="s">
        <v>108</v>
      </c>
      <c r="G1245" s="788">
        <f>294*62</f>
        <v>18228</v>
      </c>
      <c r="H1245" s="714" t="s">
        <v>609</v>
      </c>
      <c r="I1245" s="204">
        <f>+S910</f>
        <v>1.07</v>
      </c>
      <c r="J1245" s="204">
        <f>+T910</f>
        <v>0.98130841121495327</v>
      </c>
      <c r="K1245" s="194">
        <f t="shared" ref="K1245:K1256" si="25">+E1245*G1245*I1245*J1245</f>
        <v>225366.43500000003</v>
      </c>
      <c r="L1245" s="186" t="s">
        <v>40</v>
      </c>
      <c r="M1245" s="50"/>
      <c r="N1245" s="50"/>
      <c r="O1245" s="5"/>
      <c r="P1245" s="9"/>
      <c r="Q1245" s="34"/>
      <c r="R1245" s="5"/>
      <c r="U1245" s="35"/>
    </row>
    <row r="1246" spans="1:21" ht="30" customHeight="1" x14ac:dyDescent="0.35">
      <c r="A1246" s="186" t="s">
        <v>193</v>
      </c>
      <c r="B1246" s="1212" t="s">
        <v>470</v>
      </c>
      <c r="C1246" s="1213"/>
      <c r="D1246" s="1214"/>
      <c r="E1246" s="202">
        <f>+Q914</f>
        <v>665</v>
      </c>
      <c r="F1246" s="127" t="s">
        <v>40</v>
      </c>
      <c r="G1246" s="788">
        <v>306</v>
      </c>
      <c r="H1246" s="714" t="s">
        <v>610</v>
      </c>
      <c r="I1246" s="204">
        <f>+S914</f>
        <v>1.01</v>
      </c>
      <c r="J1246" s="204">
        <f>+T914</f>
        <v>0.98130841121495327</v>
      </c>
      <c r="K1246" s="194">
        <f t="shared" si="25"/>
        <v>201683.31308411213</v>
      </c>
      <c r="L1246" s="186" t="s">
        <v>40</v>
      </c>
      <c r="M1246" s="50"/>
      <c r="N1246" s="50"/>
      <c r="O1246" s="5"/>
      <c r="P1246" s="9"/>
      <c r="Q1246" s="34"/>
      <c r="R1246" s="5"/>
      <c r="U1246" s="35"/>
    </row>
    <row r="1247" spans="1:21" ht="30" customHeight="1" x14ac:dyDescent="0.35">
      <c r="A1247" s="186" t="s">
        <v>193</v>
      </c>
      <c r="B1247" s="1212" t="s">
        <v>475</v>
      </c>
      <c r="C1247" s="1213"/>
      <c r="D1247" s="1214"/>
      <c r="E1247" s="202">
        <f>+Q916</f>
        <v>478.5</v>
      </c>
      <c r="F1247" s="127" t="s">
        <v>40</v>
      </c>
      <c r="G1247" s="788">
        <v>306</v>
      </c>
      <c r="H1247" s="714" t="s">
        <v>610</v>
      </c>
      <c r="I1247" s="204">
        <f>+S916</f>
        <v>1.01</v>
      </c>
      <c r="J1247" s="204">
        <f>+T916</f>
        <v>0.98130841121495327</v>
      </c>
      <c r="K1247" s="194">
        <f t="shared" si="25"/>
        <v>145121.0004672897</v>
      </c>
      <c r="L1247" s="186" t="s">
        <v>40</v>
      </c>
      <c r="M1247" s="50"/>
      <c r="N1247" s="50"/>
      <c r="O1247" s="5"/>
      <c r="P1247" s="9"/>
      <c r="Q1247" s="34"/>
      <c r="R1247" s="5"/>
      <c r="U1247" s="35"/>
    </row>
    <row r="1248" spans="1:21" ht="30" customHeight="1" x14ac:dyDescent="0.35">
      <c r="A1248" s="186" t="s">
        <v>465</v>
      </c>
      <c r="B1248" s="1264" t="s">
        <v>669</v>
      </c>
      <c r="C1248" s="1264"/>
      <c r="D1248" s="1264"/>
      <c r="E1248" s="202">
        <f>+Q911</f>
        <v>14.375</v>
      </c>
      <c r="F1248" s="186" t="s">
        <v>108</v>
      </c>
      <c r="G1248" s="788">
        <f>80*468</f>
        <v>37440</v>
      </c>
      <c r="H1248" s="714" t="s">
        <v>609</v>
      </c>
      <c r="I1248" s="204">
        <f>+S911</f>
        <v>1.07</v>
      </c>
      <c r="J1248" s="204">
        <f>+T911</f>
        <v>0.98130841121495327</v>
      </c>
      <c r="K1248" s="194">
        <f t="shared" si="25"/>
        <v>565110</v>
      </c>
      <c r="L1248" s="186" t="s">
        <v>40</v>
      </c>
      <c r="M1248" s="50"/>
      <c r="N1248" s="50"/>
      <c r="O1248" s="5"/>
      <c r="P1248" s="9"/>
      <c r="Q1248" s="34"/>
      <c r="R1248" s="5"/>
      <c r="U1248" s="35"/>
    </row>
    <row r="1249" spans="1:23" ht="30" customHeight="1" x14ac:dyDescent="0.35">
      <c r="A1249" s="186" t="s">
        <v>345</v>
      </c>
      <c r="B1249" s="1264" t="s">
        <v>670</v>
      </c>
      <c r="C1249" s="1264"/>
      <c r="D1249" s="1264"/>
      <c r="E1249" s="202">
        <f>+Q912</f>
        <v>22.25</v>
      </c>
      <c r="F1249" s="186" t="s">
        <v>108</v>
      </c>
      <c r="G1249" s="788">
        <f>2152*12</f>
        <v>25824</v>
      </c>
      <c r="H1249" s="714" t="s">
        <v>609</v>
      </c>
      <c r="I1249" s="204">
        <f>+S912</f>
        <v>0.95</v>
      </c>
      <c r="J1249" s="204">
        <f>+T912</f>
        <v>0.98130841121495327</v>
      </c>
      <c r="K1249" s="194">
        <f t="shared" si="25"/>
        <v>535651.90654205601</v>
      </c>
      <c r="L1249" s="186" t="s">
        <v>40</v>
      </c>
      <c r="M1249" s="50"/>
      <c r="N1249" s="50"/>
      <c r="O1249" s="5"/>
      <c r="P1249" s="9"/>
      <c r="Q1249" s="34"/>
      <c r="R1249" s="5"/>
      <c r="U1249" s="35"/>
    </row>
    <row r="1250" spans="1:23" ht="30" customHeight="1" x14ac:dyDescent="0.35">
      <c r="A1250" s="186" t="s">
        <v>345</v>
      </c>
      <c r="B1250" s="1264" t="s">
        <v>671</v>
      </c>
      <c r="C1250" s="1264"/>
      <c r="D1250" s="1264"/>
      <c r="E1250" s="202">
        <f>+Q912</f>
        <v>22.25</v>
      </c>
      <c r="F1250" s="186" t="s">
        <v>108</v>
      </c>
      <c r="G1250" s="839">
        <f>80.7*45</f>
        <v>3631.5</v>
      </c>
      <c r="H1250" s="714" t="s">
        <v>609</v>
      </c>
      <c r="I1250" s="204">
        <f>+S912</f>
        <v>0.95</v>
      </c>
      <c r="J1250" s="204">
        <f>+T912</f>
        <v>0.98130841121495327</v>
      </c>
      <c r="K1250" s="194">
        <f t="shared" si="25"/>
        <v>75326.049357476644</v>
      </c>
      <c r="L1250" s="186" t="s">
        <v>40</v>
      </c>
      <c r="M1250" s="50"/>
      <c r="N1250" s="50"/>
      <c r="O1250" s="5"/>
      <c r="P1250" s="9"/>
      <c r="Q1250" s="34"/>
      <c r="R1250" s="5"/>
      <c r="U1250" s="35"/>
    </row>
    <row r="1251" spans="1:23" ht="30" customHeight="1" x14ac:dyDescent="0.35">
      <c r="A1251" s="186" t="s">
        <v>193</v>
      </c>
      <c r="B1251" s="1264" t="s">
        <v>473</v>
      </c>
      <c r="C1251" s="1264"/>
      <c r="D1251" s="1264"/>
      <c r="E1251" s="202">
        <f>+Q915</f>
        <v>1207.5</v>
      </c>
      <c r="F1251" s="127" t="s">
        <v>40</v>
      </c>
      <c r="G1251" s="788">
        <v>137</v>
      </c>
      <c r="H1251" s="714" t="s">
        <v>610</v>
      </c>
      <c r="I1251" s="204">
        <f>+S915</f>
        <v>1.01</v>
      </c>
      <c r="J1251" s="204">
        <f>+T915</f>
        <v>0.98130841121495327</v>
      </c>
      <c r="K1251" s="194">
        <f t="shared" si="25"/>
        <v>163958.75116822429</v>
      </c>
      <c r="L1251" s="186" t="s">
        <v>40</v>
      </c>
      <c r="M1251" s="50"/>
      <c r="N1251" s="50"/>
      <c r="O1251" s="5"/>
      <c r="P1251" s="9"/>
      <c r="Q1251" s="34"/>
      <c r="R1251" s="5"/>
      <c r="U1251" s="35"/>
    </row>
    <row r="1252" spans="1:23" ht="30" customHeight="1" x14ac:dyDescent="0.35">
      <c r="A1252" s="186" t="s">
        <v>333</v>
      </c>
      <c r="B1252" s="1264" t="s">
        <v>672</v>
      </c>
      <c r="C1252" s="1264"/>
      <c r="D1252" s="1264"/>
      <c r="E1252" s="202">
        <f>+Q921</f>
        <v>25.875</v>
      </c>
      <c r="F1252" s="127" t="s">
        <v>28</v>
      </c>
      <c r="G1252" s="788">
        <f>+((656*12)+(49*45))</f>
        <v>10077</v>
      </c>
      <c r="H1252" s="714" t="s">
        <v>613</v>
      </c>
      <c r="I1252" s="204">
        <f>+S921</f>
        <v>1.01</v>
      </c>
      <c r="J1252" s="204">
        <f>+T921</f>
        <v>0.98130841121495327</v>
      </c>
      <c r="K1252" s="194">
        <f t="shared" si="25"/>
        <v>258427.3726051402</v>
      </c>
      <c r="L1252" s="186" t="s">
        <v>40</v>
      </c>
      <c r="M1252" s="50"/>
      <c r="N1252" s="50"/>
      <c r="O1252" s="5"/>
      <c r="P1252" s="9"/>
      <c r="Q1252" s="34"/>
      <c r="R1252" s="5"/>
      <c r="U1252" s="35"/>
    </row>
    <row r="1253" spans="1:23" ht="30" customHeight="1" x14ac:dyDescent="0.35">
      <c r="A1253" s="186" t="s">
        <v>333</v>
      </c>
      <c r="B1253" s="1212" t="s">
        <v>627</v>
      </c>
      <c r="C1253" s="1213"/>
      <c r="D1253" s="1214"/>
      <c r="E1253" s="202">
        <f>+Q922</f>
        <v>3960</v>
      </c>
      <c r="F1253" s="127" t="s">
        <v>40</v>
      </c>
      <c r="G1253" s="788">
        <v>57</v>
      </c>
      <c r="H1253" s="714" t="s">
        <v>610</v>
      </c>
      <c r="I1253" s="204">
        <f>+S922</f>
        <v>1.01</v>
      </c>
      <c r="J1253" s="204">
        <f>+T922</f>
        <v>0.98130841121495327</v>
      </c>
      <c r="K1253" s="194">
        <f t="shared" si="25"/>
        <v>223715.94392523365</v>
      </c>
      <c r="L1253" s="186" t="s">
        <v>40</v>
      </c>
      <c r="M1253" s="50"/>
      <c r="N1253" s="50"/>
      <c r="O1253" s="5"/>
      <c r="P1253" s="9"/>
      <c r="Q1253" s="34"/>
      <c r="R1253" s="5"/>
      <c r="U1253" s="35"/>
    </row>
    <row r="1254" spans="1:23" ht="30" customHeight="1" x14ac:dyDescent="0.35">
      <c r="A1254" s="186" t="s">
        <v>193</v>
      </c>
      <c r="B1254" s="1212" t="s">
        <v>562</v>
      </c>
      <c r="C1254" s="1213"/>
      <c r="D1254" s="1214"/>
      <c r="E1254" s="202">
        <f>+Q917</f>
        <v>1485</v>
      </c>
      <c r="F1254" s="127" t="s">
        <v>40</v>
      </c>
      <c r="G1254" s="788">
        <v>137</v>
      </c>
      <c r="H1254" s="714" t="s">
        <v>610</v>
      </c>
      <c r="I1254" s="204">
        <f t="shared" ref="I1254:J1256" si="26">+S917</f>
        <v>1.01</v>
      </c>
      <c r="J1254" s="204">
        <f t="shared" si="26"/>
        <v>0.98130841121495327</v>
      </c>
      <c r="K1254" s="194">
        <f t="shared" si="25"/>
        <v>201638.71261682245</v>
      </c>
      <c r="L1254" s="186" t="s">
        <v>40</v>
      </c>
      <c r="M1254" s="50"/>
      <c r="N1254" s="50"/>
      <c r="O1254" s="5"/>
      <c r="P1254" s="9"/>
      <c r="Q1254" s="34"/>
      <c r="R1254" s="5"/>
      <c r="U1254" s="35"/>
    </row>
    <row r="1255" spans="1:23" ht="30" customHeight="1" x14ac:dyDescent="0.35">
      <c r="A1255" s="186" t="s">
        <v>477</v>
      </c>
      <c r="B1255" s="1264" t="s">
        <v>628</v>
      </c>
      <c r="C1255" s="1264"/>
      <c r="D1255" s="1264"/>
      <c r="E1255" s="202">
        <f>+Q918</f>
        <v>207.9</v>
      </c>
      <c r="F1255" s="127" t="s">
        <v>40</v>
      </c>
      <c r="G1255" s="788">
        <v>1852</v>
      </c>
      <c r="H1255" s="714" t="s">
        <v>610</v>
      </c>
      <c r="I1255" s="204">
        <f t="shared" si="26"/>
        <v>1.01</v>
      </c>
      <c r="J1255" s="204">
        <f t="shared" si="26"/>
        <v>0.98130841121495327</v>
      </c>
      <c r="K1255" s="194">
        <f t="shared" si="25"/>
        <v>381612.30224299064</v>
      </c>
      <c r="L1255" s="186" t="s">
        <v>40</v>
      </c>
      <c r="M1255" s="50"/>
      <c r="N1255" s="50"/>
      <c r="O1255" s="5"/>
      <c r="P1255" s="9"/>
      <c r="Q1255" s="34"/>
      <c r="R1255" s="5"/>
      <c r="U1255" s="35"/>
    </row>
    <row r="1256" spans="1:23" ht="30" customHeight="1" x14ac:dyDescent="0.35">
      <c r="A1256" s="186" t="s">
        <v>479</v>
      </c>
      <c r="B1256" s="1212" t="s">
        <v>673</v>
      </c>
      <c r="C1256" s="1213"/>
      <c r="D1256" s="1214"/>
      <c r="E1256" s="202">
        <f>Q919</f>
        <v>25.849999999999998</v>
      </c>
      <c r="F1256" s="127" t="s">
        <v>28</v>
      </c>
      <c r="G1256" s="788">
        <f>176233*6.5</f>
        <v>1145514.5</v>
      </c>
      <c r="H1256" s="714" t="s">
        <v>613</v>
      </c>
      <c r="I1256" s="204">
        <f t="shared" si="26"/>
        <v>1.01</v>
      </c>
      <c r="J1256" s="204">
        <f t="shared" si="26"/>
        <v>0.98130841121495327</v>
      </c>
      <c r="K1256" s="194">
        <f t="shared" si="25"/>
        <v>29348643.541507009</v>
      </c>
      <c r="L1256" s="186" t="s">
        <v>40</v>
      </c>
      <c r="M1256" s="50"/>
      <c r="N1256" s="50"/>
      <c r="O1256" s="5"/>
      <c r="P1256" s="9"/>
      <c r="Q1256" s="34"/>
      <c r="R1256" s="5"/>
      <c r="U1256" s="665"/>
      <c r="V1256" s="665"/>
      <c r="W1256" s="665"/>
    </row>
    <row r="1257" spans="1:23" ht="30" customHeight="1" x14ac:dyDescent="0.35">
      <c r="A1257" s="186">
        <v>93410</v>
      </c>
      <c r="B1257" s="1212" t="s">
        <v>674</v>
      </c>
      <c r="C1257" s="1213"/>
      <c r="D1257" s="1214"/>
      <c r="E1257" s="201">
        <f>+Q929</f>
        <v>2.91</v>
      </c>
      <c r="F1257" s="127" t="s">
        <v>4</v>
      </c>
      <c r="G1257" s="788">
        <v>7464</v>
      </c>
      <c r="H1257" s="714" t="s">
        <v>614</v>
      </c>
      <c r="I1257" s="835">
        <f>+S929</f>
        <v>0.93863689284411045</v>
      </c>
      <c r="J1257" s="186"/>
      <c r="K1257" s="194">
        <f>+E1257*G1257*I1257</f>
        <v>20387.418585428364</v>
      </c>
      <c r="L1257" s="186" t="s">
        <v>40</v>
      </c>
      <c r="M1257" s="50"/>
      <c r="N1257" s="50"/>
      <c r="O1257" s="665"/>
      <c r="P1257" s="665"/>
      <c r="Q1257" s="853"/>
      <c r="R1257" s="665"/>
      <c r="S1257" s="665"/>
      <c r="T1257" s="665"/>
      <c r="U1257" s="35"/>
    </row>
    <row r="1258" spans="1:23" ht="30" customHeight="1" x14ac:dyDescent="0.35">
      <c r="A1258" s="186" t="s">
        <v>465</v>
      </c>
      <c r="B1258" s="1212" t="s">
        <v>675</v>
      </c>
      <c r="C1258" s="1213"/>
      <c r="D1258" s="1214"/>
      <c r="E1258" s="202">
        <f>+Q911</f>
        <v>14.375</v>
      </c>
      <c r="F1258" s="186" t="s">
        <v>108</v>
      </c>
      <c r="G1258" s="788">
        <f>481*30</f>
        <v>14430</v>
      </c>
      <c r="H1258" s="714" t="s">
        <v>609</v>
      </c>
      <c r="I1258" s="204">
        <f>+S911</f>
        <v>1.07</v>
      </c>
      <c r="J1258" s="204">
        <f>+T911</f>
        <v>0.98130841121495327</v>
      </c>
      <c r="K1258" s="194">
        <f>+E1258*G1258*I1258*J1258</f>
        <v>217802.8125</v>
      </c>
      <c r="L1258" s="186" t="s">
        <v>40</v>
      </c>
      <c r="M1258" s="50"/>
      <c r="N1258" s="50"/>
      <c r="O1258" s="5"/>
      <c r="P1258" s="9"/>
      <c r="Q1258" s="34"/>
      <c r="R1258" s="5"/>
      <c r="U1258" s="35"/>
    </row>
    <row r="1259" spans="1:23" ht="30" customHeight="1" x14ac:dyDescent="0.35">
      <c r="A1259" s="186">
        <v>93410</v>
      </c>
      <c r="B1259" s="1212" t="s">
        <v>676</v>
      </c>
      <c r="C1259" s="1213"/>
      <c r="D1259" s="1214"/>
      <c r="E1259" s="202">
        <f>+Q928</f>
        <v>11.54</v>
      </c>
      <c r="F1259" s="127" t="s">
        <v>16</v>
      </c>
      <c r="G1259" s="788">
        <v>17139</v>
      </c>
      <c r="H1259" s="714" t="s">
        <v>617</v>
      </c>
      <c r="I1259" s="835">
        <f>+S928</f>
        <v>0.93863689284411045</v>
      </c>
      <c r="J1259" s="186"/>
      <c r="K1259" s="194">
        <f>+E1259*G1259*I1259</f>
        <v>185647.41553249312</v>
      </c>
      <c r="L1259" s="186" t="s">
        <v>40</v>
      </c>
      <c r="M1259" s="50"/>
      <c r="N1259" s="50"/>
      <c r="O1259" s="5"/>
      <c r="P1259" s="9"/>
      <c r="Q1259" s="34"/>
      <c r="R1259" s="5"/>
      <c r="U1259" s="35"/>
    </row>
    <row r="1260" spans="1:23" ht="30" customHeight="1" x14ac:dyDescent="0.35">
      <c r="A1260" s="186" t="s">
        <v>465</v>
      </c>
      <c r="B1260" s="1212" t="s">
        <v>677</v>
      </c>
      <c r="C1260" s="1213"/>
      <c r="D1260" s="1214"/>
      <c r="E1260" s="201">
        <f>+Q910</f>
        <v>11.775</v>
      </c>
      <c r="F1260" s="127" t="s">
        <v>108</v>
      </c>
      <c r="G1260" s="788">
        <f>4*144</f>
        <v>576</v>
      </c>
      <c r="H1260" s="714" t="s">
        <v>609</v>
      </c>
      <c r="I1260" s="186">
        <f>+S910</f>
        <v>1.07</v>
      </c>
      <c r="J1260" s="204">
        <f>+T910</f>
        <v>0.98130841121495327</v>
      </c>
      <c r="K1260" s="194">
        <f>+E1260*G1260*I1260*J1260</f>
        <v>7121.52</v>
      </c>
      <c r="L1260" s="186" t="s">
        <v>40</v>
      </c>
      <c r="M1260" s="50"/>
      <c r="N1260" s="50"/>
      <c r="O1260" s="5"/>
      <c r="P1260" s="9"/>
      <c r="Q1260" s="34"/>
      <c r="R1260" s="5"/>
      <c r="U1260" s="35"/>
    </row>
    <row r="1261" spans="1:23" ht="30" customHeight="1" x14ac:dyDescent="0.35">
      <c r="A1261" s="186">
        <v>93210</v>
      </c>
      <c r="B1261" s="1212" t="s">
        <v>678</v>
      </c>
      <c r="C1261" s="1213"/>
      <c r="D1261" s="1214"/>
      <c r="E1261" s="202">
        <f>+Q930</f>
        <v>149.81</v>
      </c>
      <c r="F1261" s="127" t="s">
        <v>16</v>
      </c>
      <c r="G1261" s="788">
        <v>44650</v>
      </c>
      <c r="H1261" s="714" t="s">
        <v>617</v>
      </c>
      <c r="I1261" s="835">
        <f>+S930</f>
        <v>0.93863689284411045</v>
      </c>
      <c r="J1261" s="186"/>
      <c r="K1261" s="194">
        <f>+E1261*G1261*I1261</f>
        <v>6278557.6637429865</v>
      </c>
      <c r="L1261" s="186" t="s">
        <v>40</v>
      </c>
      <c r="M1261" s="50"/>
      <c r="N1261" s="50"/>
      <c r="O1261" s="5"/>
      <c r="P1261" s="9"/>
      <c r="Q1261" s="34"/>
      <c r="R1261" s="5"/>
      <c r="U1261" s="35"/>
    </row>
    <row r="1262" spans="1:23" ht="30" customHeight="1" x14ac:dyDescent="0.35">
      <c r="A1262" s="186" t="s">
        <v>461</v>
      </c>
      <c r="B1262" s="1212" t="s">
        <v>679</v>
      </c>
      <c r="C1262" s="1213"/>
      <c r="D1262" s="1214"/>
      <c r="E1262" s="201">
        <f>+Q908</f>
        <v>25.75</v>
      </c>
      <c r="F1262" s="127" t="s">
        <v>108</v>
      </c>
      <c r="G1262" s="788">
        <v>4800</v>
      </c>
      <c r="H1262" s="714" t="s">
        <v>609</v>
      </c>
      <c r="I1262" s="204">
        <f>+S908</f>
        <v>1.03</v>
      </c>
      <c r="J1262" s="204">
        <f>+T908</f>
        <v>0.98130841121495327</v>
      </c>
      <c r="K1262" s="194">
        <f>+E1262*G1262*I1262*J1262</f>
        <v>124928.41121495327</v>
      </c>
      <c r="L1262" s="186" t="s">
        <v>40</v>
      </c>
      <c r="M1262" s="50"/>
      <c r="N1262" s="50"/>
      <c r="O1262" s="5"/>
      <c r="P1262" s="9"/>
      <c r="Q1262" s="34"/>
      <c r="R1262" s="5"/>
      <c r="U1262" s="35"/>
    </row>
    <row r="1263" spans="1:23" ht="30" customHeight="1" x14ac:dyDescent="0.35">
      <c r="A1263" s="186"/>
      <c r="B1263" s="1264"/>
      <c r="C1263" s="1264"/>
      <c r="D1263" s="1264"/>
      <c r="E1263" s="194"/>
      <c r="F1263" s="186"/>
      <c r="G1263" s="503"/>
      <c r="H1263" s="534"/>
      <c r="I1263" s="186"/>
      <c r="J1263" s="186" t="s">
        <v>251</v>
      </c>
      <c r="K1263" s="194">
        <f>SUM(K1245:K1262)</f>
        <v>39160700.570092216</v>
      </c>
      <c r="L1263" s="186" t="s">
        <v>40</v>
      </c>
      <c r="M1263" s="50"/>
      <c r="N1263" s="50"/>
      <c r="O1263" s="5"/>
      <c r="P1263" s="9"/>
      <c r="Q1263" s="34"/>
      <c r="R1263" s="5"/>
      <c r="U1263" s="35"/>
    </row>
    <row r="1264" spans="1:23" ht="30" customHeight="1" x14ac:dyDescent="0.35">
      <c r="A1264" s="186"/>
      <c r="B1264" s="186"/>
      <c r="C1264" s="503"/>
      <c r="D1264" s="503"/>
      <c r="E1264" s="503"/>
      <c r="F1264" s="503"/>
      <c r="G1264" s="503"/>
      <c r="H1264" s="503"/>
      <c r="I1264" s="503"/>
      <c r="J1264" s="186" t="s">
        <v>37</v>
      </c>
      <c r="K1264" s="193">
        <f>+K1263</f>
        <v>39160700.570092216</v>
      </c>
      <c r="L1264" s="186" t="s">
        <v>40</v>
      </c>
      <c r="M1264" s="50"/>
      <c r="N1264" s="50"/>
      <c r="O1264" s="5"/>
      <c r="P1264" s="9"/>
      <c r="Q1264" s="34"/>
      <c r="R1264" s="5"/>
      <c r="U1264" s="35"/>
    </row>
    <row r="1265" spans="1:21" ht="30" customHeight="1" thickBot="1" x14ac:dyDescent="0.4">
      <c r="A1265" s="186"/>
      <c r="B1265" s="186"/>
      <c r="C1265" s="503"/>
      <c r="D1265" s="503"/>
      <c r="E1265" s="503"/>
      <c r="F1265" s="503"/>
      <c r="G1265" s="1366" t="s">
        <v>257</v>
      </c>
      <c r="H1265" s="1367"/>
      <c r="I1265" s="1368"/>
      <c r="J1265" s="560">
        <f>VLOOKUP(B1242,'Mil Cost Premiums for PUCs'!$A$4:$R$285,18,FALSE)</f>
        <v>1.0821211439999998</v>
      </c>
      <c r="K1265" s="193">
        <f>+K1264*J1265</f>
        <v>42376622.100749634</v>
      </c>
      <c r="L1265" s="186" t="s">
        <v>40</v>
      </c>
      <c r="M1265" s="50"/>
      <c r="N1265" s="50"/>
      <c r="O1265" s="5"/>
      <c r="P1265" s="9"/>
      <c r="Q1265" s="34"/>
      <c r="R1265" s="5"/>
      <c r="U1265" s="35"/>
    </row>
    <row r="1266" spans="1:21" ht="30" customHeight="1" thickBot="1" x14ac:dyDescent="0.4">
      <c r="A1266" s="1199"/>
      <c r="B1266" s="1200"/>
      <c r="C1266" s="1200"/>
      <c r="D1266" s="1200"/>
      <c r="E1266" s="1200"/>
      <c r="F1266" s="1200"/>
      <c r="G1266" s="1200"/>
      <c r="H1266" s="1200"/>
      <c r="I1266" s="1200"/>
      <c r="J1266" s="1200"/>
      <c r="K1266" s="1200"/>
      <c r="L1266" s="1201"/>
      <c r="M1266" s="50"/>
      <c r="N1266" s="50"/>
      <c r="O1266" s="5"/>
      <c r="P1266" s="9"/>
      <c r="Q1266" s="34"/>
      <c r="R1266" s="5"/>
      <c r="U1266" s="35"/>
    </row>
    <row r="1267" spans="1:21" ht="30" customHeight="1" x14ac:dyDescent="0.35">
      <c r="A1267" s="388" t="s">
        <v>1</v>
      </c>
      <c r="B1267" s="389">
        <v>1773</v>
      </c>
      <c r="C1267" s="1205" t="s">
        <v>680</v>
      </c>
      <c r="D1267" s="1206"/>
      <c r="E1267" s="392" t="s">
        <v>3</v>
      </c>
      <c r="F1267" s="393" t="s">
        <v>576</v>
      </c>
      <c r="G1267" s="841" t="s">
        <v>681</v>
      </c>
      <c r="H1267" s="728">
        <v>4</v>
      </c>
      <c r="I1267" s="392" t="s">
        <v>5</v>
      </c>
      <c r="J1267" s="1556" t="s">
        <v>3010</v>
      </c>
      <c r="K1267" s="1556"/>
      <c r="L1267" s="1557"/>
      <c r="M1267" s="50"/>
      <c r="N1267" s="50"/>
      <c r="O1267" s="5"/>
      <c r="P1267" s="9"/>
      <c r="Q1267" s="34"/>
      <c r="R1267" s="5"/>
      <c r="U1267" s="35"/>
    </row>
    <row r="1268" spans="1:21" ht="30" customHeight="1" x14ac:dyDescent="0.35">
      <c r="A1268" s="185" t="s">
        <v>506</v>
      </c>
      <c r="B1268" s="1280" t="s">
        <v>211</v>
      </c>
      <c r="C1268" s="1281"/>
      <c r="D1268" s="1282"/>
      <c r="E1268" s="566" t="s">
        <v>52</v>
      </c>
      <c r="F1268" s="566" t="s">
        <v>53</v>
      </c>
      <c r="G1268" s="1219" t="s">
        <v>54</v>
      </c>
      <c r="H1268" s="1220"/>
      <c r="I1268" s="185" t="s">
        <v>188</v>
      </c>
      <c r="J1268" s="632" t="s">
        <v>195</v>
      </c>
      <c r="K1268" s="1209" t="s">
        <v>180</v>
      </c>
      <c r="L1268" s="1210"/>
      <c r="M1268" s="50"/>
      <c r="N1268" s="50"/>
      <c r="O1268" s="5"/>
      <c r="P1268" s="9"/>
      <c r="Q1268" s="34"/>
      <c r="R1268" s="5"/>
      <c r="U1268" s="35"/>
    </row>
    <row r="1269" spans="1:21" ht="30" customHeight="1" x14ac:dyDescent="0.35">
      <c r="A1269" s="185"/>
      <c r="B1269" s="1202" t="s">
        <v>682</v>
      </c>
      <c r="C1269" s="1203"/>
      <c r="D1269" s="1204"/>
      <c r="E1269" s="566"/>
      <c r="F1269" s="566"/>
      <c r="G1269" s="459"/>
      <c r="H1269" s="460"/>
      <c r="I1269" s="672"/>
      <c r="J1269" s="672"/>
      <c r="K1269" s="566"/>
      <c r="L1269" s="566"/>
      <c r="M1269" s="50"/>
      <c r="N1269" s="50"/>
      <c r="O1269" s="5"/>
      <c r="P1269" s="9"/>
      <c r="Q1269" s="34"/>
      <c r="R1269" s="5"/>
      <c r="U1269" s="35"/>
    </row>
    <row r="1270" spans="1:21" ht="30" customHeight="1" x14ac:dyDescent="0.35">
      <c r="A1270" s="186" t="s">
        <v>465</v>
      </c>
      <c r="B1270" s="1212" t="s">
        <v>683</v>
      </c>
      <c r="C1270" s="1213"/>
      <c r="D1270" s="1214"/>
      <c r="E1270" s="202">
        <f>+Q910</f>
        <v>11.775</v>
      </c>
      <c r="F1270" s="186" t="s">
        <v>108</v>
      </c>
      <c r="G1270" s="127">
        <f>6*62</f>
        <v>372</v>
      </c>
      <c r="H1270" s="714" t="s">
        <v>578</v>
      </c>
      <c r="I1270" s="204">
        <f>+S910</f>
        <v>1.07</v>
      </c>
      <c r="J1270" s="204">
        <f>+T910</f>
        <v>0.98130841121495327</v>
      </c>
      <c r="K1270" s="194">
        <f>+E1270*G1270*I1270*J1270</f>
        <v>4599.3150000000005</v>
      </c>
      <c r="L1270" s="186" t="s">
        <v>576</v>
      </c>
      <c r="M1270" s="50"/>
      <c r="N1270" s="50"/>
      <c r="O1270" s="5"/>
      <c r="P1270" s="9"/>
      <c r="Q1270" s="34"/>
      <c r="R1270" s="5"/>
      <c r="U1270" s="35"/>
    </row>
    <row r="1271" spans="1:21" ht="30" customHeight="1" x14ac:dyDescent="0.35">
      <c r="A1271" s="186" t="s">
        <v>193</v>
      </c>
      <c r="B1271" s="1212" t="s">
        <v>470</v>
      </c>
      <c r="C1271" s="1213"/>
      <c r="D1271" s="1214"/>
      <c r="E1271" s="202">
        <f>+Q914</f>
        <v>665</v>
      </c>
      <c r="F1271" s="127" t="s">
        <v>40</v>
      </c>
      <c r="G1271" s="127">
        <v>6</v>
      </c>
      <c r="H1271" s="714" t="s">
        <v>597</v>
      </c>
      <c r="I1271" s="204">
        <f>+S914</f>
        <v>1.01</v>
      </c>
      <c r="J1271" s="204">
        <f>+T914</f>
        <v>0.98130841121495327</v>
      </c>
      <c r="K1271" s="194">
        <f>+E1271*G1271*I1271*J1271</f>
        <v>3954.5747663551401</v>
      </c>
      <c r="L1271" s="186" t="s">
        <v>576</v>
      </c>
      <c r="M1271" s="50"/>
      <c r="N1271" s="50"/>
      <c r="O1271" s="5"/>
      <c r="P1271" s="9"/>
      <c r="Q1271" s="34"/>
      <c r="R1271" s="5"/>
      <c r="U1271" s="35"/>
    </row>
    <row r="1272" spans="1:21" ht="30" customHeight="1" x14ac:dyDescent="0.35">
      <c r="A1272" s="186" t="s">
        <v>193</v>
      </c>
      <c r="B1272" s="1212" t="s">
        <v>475</v>
      </c>
      <c r="C1272" s="1213"/>
      <c r="D1272" s="1214"/>
      <c r="E1272" s="202">
        <f>+Q916</f>
        <v>478.5</v>
      </c>
      <c r="F1272" s="127" t="s">
        <v>40</v>
      </c>
      <c r="G1272" s="127">
        <v>6</v>
      </c>
      <c r="H1272" s="714" t="s">
        <v>597</v>
      </c>
      <c r="I1272" s="204">
        <f>+S916</f>
        <v>1.01</v>
      </c>
      <c r="J1272" s="204">
        <f>+T916</f>
        <v>0.98130841121495327</v>
      </c>
      <c r="K1272" s="194">
        <f>+E1272*G1272*I1272*J1272</f>
        <v>2845.509813084112</v>
      </c>
      <c r="L1272" s="186" t="s">
        <v>576</v>
      </c>
      <c r="M1272" s="50"/>
      <c r="N1272" s="50"/>
      <c r="O1272" s="5"/>
      <c r="P1272" s="9"/>
      <c r="Q1272" s="34"/>
      <c r="R1272" s="5"/>
      <c r="U1272" s="35"/>
    </row>
    <row r="1273" spans="1:21" ht="30" customHeight="1" x14ac:dyDescent="0.35">
      <c r="A1273" s="186" t="s">
        <v>477</v>
      </c>
      <c r="B1273" s="1264" t="s">
        <v>684</v>
      </c>
      <c r="C1273" s="1264"/>
      <c r="D1273" s="1264"/>
      <c r="E1273" s="202">
        <f>+Q918</f>
        <v>207.9</v>
      </c>
      <c r="F1273" s="127" t="s">
        <v>40</v>
      </c>
      <c r="G1273" s="127">
        <v>24</v>
      </c>
      <c r="H1273" s="714" t="s">
        <v>597</v>
      </c>
      <c r="I1273" s="204">
        <f>+S918</f>
        <v>1.01</v>
      </c>
      <c r="J1273" s="204">
        <f>+T918</f>
        <v>0.98130841121495327</v>
      </c>
      <c r="K1273" s="194">
        <f>+E1273*G1273*I1273*J1273</f>
        <v>4945.2998130841124</v>
      </c>
      <c r="L1273" s="186" t="s">
        <v>576</v>
      </c>
      <c r="M1273" s="50"/>
      <c r="N1273" s="50"/>
      <c r="O1273" s="5"/>
      <c r="P1273" s="9"/>
      <c r="Q1273" s="34"/>
      <c r="R1273" s="5"/>
      <c r="U1273" s="35"/>
    </row>
    <row r="1274" spans="1:21" ht="30" customHeight="1" x14ac:dyDescent="0.35">
      <c r="A1274" s="186" t="s">
        <v>479</v>
      </c>
      <c r="B1274" s="1212" t="s">
        <v>685</v>
      </c>
      <c r="C1274" s="1213"/>
      <c r="D1274" s="1214"/>
      <c r="E1274" s="202">
        <f>+Q919</f>
        <v>25.849999999999998</v>
      </c>
      <c r="F1274" s="127" t="s">
        <v>28</v>
      </c>
      <c r="G1274" s="788">
        <f>346*6</f>
        <v>2076</v>
      </c>
      <c r="H1274" s="714" t="s">
        <v>599</v>
      </c>
      <c r="I1274" s="204">
        <f>+S919</f>
        <v>1.01</v>
      </c>
      <c r="J1274" s="204">
        <f>+T919</f>
        <v>0.98130841121495327</v>
      </c>
      <c r="K1274" s="194">
        <f>+E1274*G1274*I1274*J1274</f>
        <v>53188.138598130841</v>
      </c>
      <c r="L1274" s="186" t="s">
        <v>576</v>
      </c>
      <c r="M1274" s="50"/>
      <c r="N1274" s="50"/>
      <c r="O1274" s="5"/>
      <c r="P1274" s="9"/>
      <c r="Q1274" s="34"/>
      <c r="R1274" s="5"/>
      <c r="U1274" s="35"/>
    </row>
    <row r="1275" spans="1:21" ht="30" customHeight="1" x14ac:dyDescent="0.35">
      <c r="A1275" s="186">
        <v>93410</v>
      </c>
      <c r="B1275" s="1212" t="s">
        <v>686</v>
      </c>
      <c r="C1275" s="1213"/>
      <c r="D1275" s="1214"/>
      <c r="E1275" s="202">
        <f>+Q928</f>
        <v>11.54</v>
      </c>
      <c r="F1275" s="127" t="s">
        <v>16</v>
      </c>
      <c r="G1275" s="788">
        <f>2354*2</f>
        <v>4708</v>
      </c>
      <c r="H1275" s="714" t="s">
        <v>580</v>
      </c>
      <c r="I1275" s="752">
        <f>+S928</f>
        <v>0.93863689284411045</v>
      </c>
      <c r="J1275" s="186"/>
      <c r="K1275" s="194">
        <f>+E1275*G1275*I1275</f>
        <v>50996.442752026225</v>
      </c>
      <c r="L1275" s="186" t="s">
        <v>576</v>
      </c>
      <c r="M1275" s="50"/>
      <c r="N1275" s="50"/>
      <c r="O1275" s="5"/>
      <c r="P1275" s="9"/>
      <c r="Q1275" s="34"/>
      <c r="R1275" s="5"/>
      <c r="U1275" s="35"/>
    </row>
    <row r="1276" spans="1:21" ht="30" customHeight="1" x14ac:dyDescent="0.35">
      <c r="A1276" s="186">
        <v>93210</v>
      </c>
      <c r="B1276" s="1212" t="s">
        <v>687</v>
      </c>
      <c r="C1276" s="1213"/>
      <c r="D1276" s="1214"/>
      <c r="E1276" s="202">
        <f>Q930</f>
        <v>149.81</v>
      </c>
      <c r="F1276" s="127" t="s">
        <v>16</v>
      </c>
      <c r="G1276" s="854">
        <v>39</v>
      </c>
      <c r="H1276" s="714" t="s">
        <v>580</v>
      </c>
      <c r="I1276" s="752">
        <f>+S930</f>
        <v>0.93863689284411045</v>
      </c>
      <c r="J1276" s="186"/>
      <c r="K1276" s="194">
        <f>+E1276*G1276*I1276</f>
        <v>5484.0705237620714</v>
      </c>
      <c r="L1276" s="186" t="s">
        <v>576</v>
      </c>
      <c r="M1276" s="50"/>
      <c r="N1276" s="50"/>
      <c r="O1276" s="5"/>
      <c r="P1276" s="9"/>
      <c r="Q1276" s="34"/>
      <c r="R1276" s="5"/>
      <c r="U1276" s="35"/>
    </row>
    <row r="1277" spans="1:21" ht="30" customHeight="1" x14ac:dyDescent="0.35">
      <c r="A1277" s="1511" t="s">
        <v>3028</v>
      </c>
      <c r="B1277" s="1521"/>
      <c r="C1277" s="1521"/>
      <c r="D1277" s="1237"/>
      <c r="E1277" s="194"/>
      <c r="F1277" s="186"/>
      <c r="G1277" s="503"/>
      <c r="H1277" s="534"/>
      <c r="I1277" s="186"/>
      <c r="J1277" s="186" t="s">
        <v>251</v>
      </c>
      <c r="K1277" s="194">
        <f>SUM(K1270:K1276)</f>
        <v>126013.35126644251</v>
      </c>
      <c r="L1277" s="186" t="s">
        <v>576</v>
      </c>
      <c r="M1277" s="50"/>
      <c r="N1277" s="50"/>
      <c r="O1277" s="5"/>
      <c r="P1277" s="9"/>
      <c r="Q1277" s="34"/>
      <c r="R1277" s="5"/>
      <c r="U1277" s="35"/>
    </row>
    <row r="1278" spans="1:21" ht="30" customHeight="1" thickBot="1" x14ac:dyDescent="0.4">
      <c r="A1278" s="1522"/>
      <c r="B1278" s="1523"/>
      <c r="C1278" s="1523"/>
      <c r="D1278" s="1524"/>
      <c r="E1278" s="503"/>
      <c r="F1278" s="503"/>
      <c r="G1278" s="1366" t="s">
        <v>257</v>
      </c>
      <c r="H1278" s="1367"/>
      <c r="I1278" s="1368"/>
      <c r="J1278" s="560">
        <f>VLOOKUP(B1267,'Mil Cost Premiums for PUCs'!$A$4:$R$285,18,FALSE)</f>
        <v>1.0485669999999998</v>
      </c>
      <c r="K1278" s="193">
        <f>+K1277*J1278</f>
        <v>132133.4416973998</v>
      </c>
      <c r="L1278" s="186" t="s">
        <v>576</v>
      </c>
      <c r="M1278" s="50"/>
      <c r="N1278" s="50"/>
      <c r="O1278" s="5"/>
      <c r="P1278" s="9"/>
      <c r="Q1278" s="34"/>
      <c r="R1278" s="5"/>
      <c r="U1278" s="35"/>
    </row>
    <row r="1279" spans="1:21" ht="30" customHeight="1" thickBot="1" x14ac:dyDescent="0.4">
      <c r="A1279" s="1199"/>
      <c r="B1279" s="1200"/>
      <c r="C1279" s="1200"/>
      <c r="D1279" s="1200"/>
      <c r="E1279" s="1200"/>
      <c r="F1279" s="1200"/>
      <c r="G1279" s="1200"/>
      <c r="H1279" s="1200"/>
      <c r="I1279" s="1200"/>
      <c r="J1279" s="1200"/>
      <c r="K1279" s="1200"/>
      <c r="L1279" s="1201"/>
      <c r="M1279" s="50"/>
      <c r="N1279" s="50"/>
      <c r="O1279" s="5"/>
      <c r="P1279" s="9"/>
      <c r="Q1279" s="34"/>
      <c r="R1279" s="5"/>
      <c r="U1279" s="35"/>
    </row>
    <row r="1280" spans="1:21" ht="30" customHeight="1" x14ac:dyDescent="0.35">
      <c r="A1280" s="388" t="s">
        <v>1</v>
      </c>
      <c r="B1280" s="389">
        <v>1774</v>
      </c>
      <c r="C1280" s="1288" t="s">
        <v>688</v>
      </c>
      <c r="D1280" s="1289"/>
      <c r="E1280" s="392" t="s">
        <v>3</v>
      </c>
      <c r="F1280" s="525" t="s">
        <v>40</v>
      </c>
      <c r="G1280" s="841" t="s">
        <v>689</v>
      </c>
      <c r="H1280" s="728">
        <v>1</v>
      </c>
      <c r="I1280" s="392" t="s">
        <v>5</v>
      </c>
      <c r="J1280" s="1556" t="s">
        <v>3010</v>
      </c>
      <c r="K1280" s="1556"/>
      <c r="L1280" s="1557"/>
      <c r="M1280" s="50"/>
      <c r="N1280" s="50"/>
      <c r="O1280" s="5"/>
      <c r="P1280" s="9"/>
      <c r="Q1280" s="34"/>
      <c r="R1280" s="5"/>
      <c r="U1280" s="35"/>
    </row>
    <row r="1281" spans="1:21" ht="30" customHeight="1" x14ac:dyDescent="0.35">
      <c r="A1281" s="185" t="s">
        <v>506</v>
      </c>
      <c r="B1281" s="1280" t="s">
        <v>211</v>
      </c>
      <c r="C1281" s="1281"/>
      <c r="D1281" s="1282"/>
      <c r="E1281" s="566" t="s">
        <v>52</v>
      </c>
      <c r="F1281" s="566" t="s">
        <v>53</v>
      </c>
      <c r="G1281" s="1219" t="s">
        <v>54</v>
      </c>
      <c r="H1281" s="1220"/>
      <c r="I1281" s="185" t="s">
        <v>188</v>
      </c>
      <c r="J1281" s="632" t="s">
        <v>195</v>
      </c>
      <c r="K1281" s="1209" t="s">
        <v>180</v>
      </c>
      <c r="L1281" s="1210"/>
      <c r="M1281" s="50"/>
      <c r="N1281" s="50"/>
      <c r="O1281" s="5"/>
      <c r="P1281" s="9"/>
      <c r="Q1281" s="34"/>
      <c r="R1281" s="5"/>
      <c r="U1281" s="35"/>
    </row>
    <row r="1282" spans="1:21" ht="30" customHeight="1" x14ac:dyDescent="0.35">
      <c r="A1282" s="185"/>
      <c r="B1282" s="1202" t="s">
        <v>690</v>
      </c>
      <c r="C1282" s="1203"/>
      <c r="D1282" s="1204"/>
      <c r="E1282" s="566"/>
      <c r="F1282" s="566"/>
      <c r="G1282" s="459"/>
      <c r="H1282" s="460"/>
      <c r="I1282" s="672"/>
      <c r="J1282" s="672"/>
      <c r="K1282" s="566"/>
      <c r="L1282" s="566"/>
      <c r="M1282" s="50"/>
      <c r="N1282" s="50"/>
      <c r="O1282" s="5"/>
      <c r="P1282" s="9"/>
      <c r="Q1282" s="34"/>
      <c r="R1282" s="5"/>
      <c r="U1282" s="35"/>
    </row>
    <row r="1283" spans="1:21" ht="30" customHeight="1" x14ac:dyDescent="0.35">
      <c r="A1283" s="186" t="s">
        <v>465</v>
      </c>
      <c r="B1283" s="1212" t="s">
        <v>691</v>
      </c>
      <c r="C1283" s="1213"/>
      <c r="D1283" s="1214"/>
      <c r="E1283" s="202">
        <f>+Q910</f>
        <v>11.775</v>
      </c>
      <c r="F1283" s="186" t="s">
        <v>108</v>
      </c>
      <c r="G1283" s="788">
        <f>31*62</f>
        <v>1922</v>
      </c>
      <c r="H1283" s="714" t="s">
        <v>609</v>
      </c>
      <c r="I1283" s="204">
        <f>+S910</f>
        <v>1.07</v>
      </c>
      <c r="J1283" s="204">
        <f>+T910</f>
        <v>0.98130841121495327</v>
      </c>
      <c r="K1283" s="194">
        <f t="shared" ref="K1283:K1288" si="27">+E1283*G1283*I1283*J1283</f>
        <v>23763.127499999999</v>
      </c>
      <c r="L1283" s="186" t="s">
        <v>40</v>
      </c>
      <c r="M1283" s="50"/>
      <c r="N1283" s="50"/>
      <c r="O1283" s="5"/>
      <c r="P1283" s="9"/>
      <c r="Q1283" s="34"/>
      <c r="R1283" s="5"/>
      <c r="U1283" s="35"/>
    </row>
    <row r="1284" spans="1:21" ht="30" customHeight="1" x14ac:dyDescent="0.35">
      <c r="A1284" s="186" t="s">
        <v>193</v>
      </c>
      <c r="B1284" s="1212" t="s">
        <v>470</v>
      </c>
      <c r="C1284" s="1213"/>
      <c r="D1284" s="1214"/>
      <c r="E1284" s="202">
        <f>+Q914</f>
        <v>665</v>
      </c>
      <c r="F1284" s="127" t="s">
        <v>40</v>
      </c>
      <c r="G1284" s="127">
        <v>31</v>
      </c>
      <c r="H1284" s="714" t="s">
        <v>610</v>
      </c>
      <c r="I1284" s="204">
        <f>+S914</f>
        <v>1.01</v>
      </c>
      <c r="J1284" s="204">
        <f>+T914</f>
        <v>0.98130841121495327</v>
      </c>
      <c r="K1284" s="194">
        <f t="shared" si="27"/>
        <v>20431.969626168226</v>
      </c>
      <c r="L1284" s="186" t="s">
        <v>40</v>
      </c>
      <c r="M1284" s="50"/>
      <c r="N1284" s="50"/>
      <c r="O1284" s="5"/>
      <c r="P1284" s="9"/>
      <c r="Q1284" s="34"/>
      <c r="R1284" s="5"/>
      <c r="U1284" s="35"/>
    </row>
    <row r="1285" spans="1:21" ht="30" customHeight="1" x14ac:dyDescent="0.35">
      <c r="A1285" s="186" t="s">
        <v>193</v>
      </c>
      <c r="B1285" s="1212" t="s">
        <v>475</v>
      </c>
      <c r="C1285" s="1213"/>
      <c r="D1285" s="1214"/>
      <c r="E1285" s="202">
        <f>+Q916</f>
        <v>478.5</v>
      </c>
      <c r="F1285" s="127" t="s">
        <v>40</v>
      </c>
      <c r="G1285" s="127">
        <v>31</v>
      </c>
      <c r="H1285" s="714" t="s">
        <v>610</v>
      </c>
      <c r="I1285" s="204">
        <f>+S916</f>
        <v>1.01</v>
      </c>
      <c r="J1285" s="204">
        <f>+T916</f>
        <v>0.98130841121495327</v>
      </c>
      <c r="K1285" s="194">
        <f t="shared" si="27"/>
        <v>14701.80070093458</v>
      </c>
      <c r="L1285" s="186" t="s">
        <v>40</v>
      </c>
      <c r="M1285" s="50"/>
      <c r="N1285" s="50"/>
      <c r="O1285" s="5"/>
      <c r="P1285" s="9"/>
      <c r="Q1285" s="34"/>
      <c r="R1285" s="5"/>
      <c r="U1285" s="35"/>
    </row>
    <row r="1286" spans="1:21" ht="30" customHeight="1" x14ac:dyDescent="0.35">
      <c r="A1286" s="186" t="s">
        <v>477</v>
      </c>
      <c r="B1286" s="1264" t="s">
        <v>684</v>
      </c>
      <c r="C1286" s="1264"/>
      <c r="D1286" s="1264"/>
      <c r="E1286" s="202">
        <f>+Q918</f>
        <v>207.9</v>
      </c>
      <c r="F1286" s="127" t="s">
        <v>40</v>
      </c>
      <c r="G1286" s="127">
        <f>31*4</f>
        <v>124</v>
      </c>
      <c r="H1286" s="714" t="s">
        <v>610</v>
      </c>
      <c r="I1286" s="204">
        <f>+S918</f>
        <v>1.01</v>
      </c>
      <c r="J1286" s="204">
        <f>+T918</f>
        <v>0.98130841121495327</v>
      </c>
      <c r="K1286" s="194">
        <f t="shared" si="27"/>
        <v>25550.715700934579</v>
      </c>
      <c r="L1286" s="186" t="s">
        <v>40</v>
      </c>
      <c r="M1286" s="50"/>
      <c r="N1286" s="50"/>
      <c r="O1286" s="5"/>
      <c r="P1286" s="9"/>
      <c r="Q1286" s="34"/>
      <c r="R1286" s="5"/>
      <c r="U1286" s="35"/>
    </row>
    <row r="1287" spans="1:21" ht="30" customHeight="1" x14ac:dyDescent="0.35">
      <c r="A1287" s="186" t="s">
        <v>479</v>
      </c>
      <c r="B1287" s="1212" t="s">
        <v>528</v>
      </c>
      <c r="C1287" s="1213"/>
      <c r="D1287" s="1214"/>
      <c r="E1287" s="202">
        <f>+Q919</f>
        <v>25.849999999999998</v>
      </c>
      <c r="F1287" s="127" t="s">
        <v>28</v>
      </c>
      <c r="G1287" s="788">
        <v>8152</v>
      </c>
      <c r="H1287" s="714" t="s">
        <v>613</v>
      </c>
      <c r="I1287" s="204">
        <f>+S919</f>
        <v>1.01</v>
      </c>
      <c r="J1287" s="204">
        <f>+T919</f>
        <v>0.98130841121495327</v>
      </c>
      <c r="K1287" s="194">
        <f t="shared" si="27"/>
        <v>208858.2398130841</v>
      </c>
      <c r="L1287" s="186" t="s">
        <v>40</v>
      </c>
      <c r="M1287" s="50"/>
      <c r="N1287" s="50"/>
      <c r="O1287" s="5"/>
      <c r="P1287" s="9"/>
      <c r="Q1287" s="34"/>
      <c r="R1287" s="5"/>
      <c r="U1287" s="35"/>
    </row>
    <row r="1288" spans="1:21" ht="30" customHeight="1" x14ac:dyDescent="0.35">
      <c r="A1288" s="186" t="s">
        <v>465</v>
      </c>
      <c r="B1288" s="1212" t="s">
        <v>692</v>
      </c>
      <c r="C1288" s="1213"/>
      <c r="D1288" s="1214"/>
      <c r="E1288" s="201">
        <f>+Q910</f>
        <v>11.775</v>
      </c>
      <c r="F1288" s="127" t="s">
        <v>108</v>
      </c>
      <c r="G1288" s="127">
        <f>5*104</f>
        <v>520</v>
      </c>
      <c r="H1288" s="714" t="s">
        <v>610</v>
      </c>
      <c r="I1288" s="204">
        <f>+S910</f>
        <v>1.07</v>
      </c>
      <c r="J1288" s="204">
        <f>+T910</f>
        <v>0.98130841121495327</v>
      </c>
      <c r="K1288" s="194">
        <f t="shared" si="27"/>
        <v>6429.1500000000005</v>
      </c>
      <c r="L1288" s="186" t="s">
        <v>40</v>
      </c>
      <c r="M1288" s="50"/>
      <c r="N1288" s="50"/>
      <c r="O1288" s="797"/>
      <c r="P1288" s="9"/>
      <c r="Q1288" s="34"/>
      <c r="R1288" s="5"/>
      <c r="U1288" s="35"/>
    </row>
    <row r="1289" spans="1:21" ht="30" customHeight="1" x14ac:dyDescent="0.35">
      <c r="A1289" s="186">
        <v>93410</v>
      </c>
      <c r="B1289" s="1212" t="s">
        <v>693</v>
      </c>
      <c r="C1289" s="1213"/>
      <c r="D1289" s="1214"/>
      <c r="E1289" s="202">
        <f>+Q928</f>
        <v>11.54</v>
      </c>
      <c r="F1289" s="127" t="s">
        <v>16</v>
      </c>
      <c r="G1289" s="715">
        <v>785</v>
      </c>
      <c r="H1289" s="714" t="s">
        <v>514</v>
      </c>
      <c r="I1289" s="835">
        <f>+S928</f>
        <v>0.93863689284411045</v>
      </c>
      <c r="J1289" s="186"/>
      <c r="K1289" s="194">
        <f>+E1289*G1289*I1289</f>
        <v>8503.0177485855111</v>
      </c>
      <c r="L1289" s="186" t="s">
        <v>40</v>
      </c>
      <c r="M1289" s="50"/>
      <c r="N1289" s="50"/>
      <c r="O1289" s="797"/>
      <c r="P1289" s="9"/>
      <c r="Q1289" s="34"/>
      <c r="R1289" s="5"/>
      <c r="U1289" s="35"/>
    </row>
    <row r="1290" spans="1:21" ht="30" customHeight="1" x14ac:dyDescent="0.35">
      <c r="A1290" s="186">
        <v>93210</v>
      </c>
      <c r="B1290" s="1212" t="s">
        <v>694</v>
      </c>
      <c r="C1290" s="1213"/>
      <c r="D1290" s="1214"/>
      <c r="E1290" s="202">
        <f>+Q930</f>
        <v>149.81</v>
      </c>
      <c r="F1290" s="127" t="s">
        <v>16</v>
      </c>
      <c r="G1290" s="715">
        <v>353</v>
      </c>
      <c r="H1290" s="714" t="s">
        <v>514</v>
      </c>
      <c r="I1290" s="752">
        <f>+S930</f>
        <v>0.93863689284411045</v>
      </c>
      <c r="J1290" s="186"/>
      <c r="K1290" s="194">
        <f>+E1290*G1290*I1290</f>
        <v>49637.869099692594</v>
      </c>
      <c r="L1290" s="186" t="s">
        <v>40</v>
      </c>
      <c r="M1290" s="50"/>
      <c r="N1290" s="50"/>
      <c r="O1290" s="5"/>
      <c r="P1290" s="9"/>
      <c r="Q1290" s="34"/>
      <c r="R1290" s="5"/>
      <c r="U1290" s="35"/>
    </row>
    <row r="1291" spans="1:21" ht="30" customHeight="1" x14ac:dyDescent="0.35">
      <c r="A1291" s="1511" t="s">
        <v>3028</v>
      </c>
      <c r="B1291" s="1521"/>
      <c r="C1291" s="1521"/>
      <c r="D1291" s="1237"/>
      <c r="E1291" s="194"/>
      <c r="F1291" s="186"/>
      <c r="G1291" s="503"/>
      <c r="H1291" s="534"/>
      <c r="I1291" s="186"/>
      <c r="J1291" s="186" t="s">
        <v>251</v>
      </c>
      <c r="K1291" s="194">
        <f>SUM(K1283:K1290)</f>
        <v>357875.89018939959</v>
      </c>
      <c r="L1291" s="186" t="s">
        <v>40</v>
      </c>
      <c r="M1291" s="50"/>
      <c r="N1291" s="50"/>
      <c r="O1291" s="5"/>
      <c r="P1291" s="9"/>
      <c r="Q1291" s="34"/>
      <c r="R1291" s="5"/>
      <c r="U1291" s="35"/>
    </row>
    <row r="1292" spans="1:21" ht="30" customHeight="1" thickBot="1" x14ac:dyDescent="0.4">
      <c r="A1292" s="1522"/>
      <c r="B1292" s="1523"/>
      <c r="C1292" s="1523"/>
      <c r="D1292" s="1524"/>
      <c r="E1292" s="503"/>
      <c r="F1292" s="503"/>
      <c r="G1292" s="1366" t="s">
        <v>257</v>
      </c>
      <c r="H1292" s="1367"/>
      <c r="I1292" s="1368"/>
      <c r="J1292" s="560">
        <f>VLOOKUP(B1280,'Mil Cost Premiums for PUCs'!$A$4:$R$285,18,FALSE)</f>
        <v>1.0485669999999998</v>
      </c>
      <c r="K1292" s="193">
        <f>+K1291*J1292</f>
        <v>375256.8485482281</v>
      </c>
      <c r="L1292" s="186" t="s">
        <v>40</v>
      </c>
      <c r="M1292" s="100"/>
      <c r="N1292" s="50"/>
      <c r="O1292" s="5"/>
      <c r="P1292" s="9"/>
      <c r="Q1292" s="34"/>
      <c r="R1292" s="5"/>
      <c r="U1292" s="35"/>
    </row>
    <row r="1293" spans="1:21" ht="30" customHeight="1" thickBot="1" x14ac:dyDescent="0.4">
      <c r="A1293" s="1199"/>
      <c r="B1293" s="1200"/>
      <c r="C1293" s="1200"/>
      <c r="D1293" s="1200"/>
      <c r="E1293" s="1200"/>
      <c r="F1293" s="1200"/>
      <c r="G1293" s="1200"/>
      <c r="H1293" s="1200"/>
      <c r="I1293" s="1200"/>
      <c r="J1293" s="1200"/>
      <c r="K1293" s="1200"/>
      <c r="L1293" s="1201"/>
      <c r="M1293" s="50"/>
      <c r="N1293" s="50"/>
      <c r="O1293" s="5"/>
      <c r="P1293" s="9"/>
      <c r="Q1293" s="34"/>
      <c r="R1293" s="5"/>
      <c r="U1293" s="35"/>
    </row>
    <row r="1294" spans="1:21" ht="30" customHeight="1" x14ac:dyDescent="0.35">
      <c r="A1294" s="388" t="s">
        <v>1</v>
      </c>
      <c r="B1294" s="389">
        <v>1775</v>
      </c>
      <c r="C1294" s="1205" t="s">
        <v>695</v>
      </c>
      <c r="D1294" s="1206"/>
      <c r="E1294" s="392" t="s">
        <v>3</v>
      </c>
      <c r="F1294" s="393" t="s">
        <v>40</v>
      </c>
      <c r="G1294" s="841" t="s">
        <v>696</v>
      </c>
      <c r="H1294" s="728">
        <v>1</v>
      </c>
      <c r="I1294" s="392" t="s">
        <v>5</v>
      </c>
      <c r="J1294" s="1556" t="s">
        <v>3010</v>
      </c>
      <c r="K1294" s="1556"/>
      <c r="L1294" s="1557"/>
      <c r="M1294" s="50"/>
      <c r="N1294" s="50"/>
      <c r="O1294" s="5"/>
      <c r="P1294" s="9"/>
      <c r="Q1294" s="34"/>
      <c r="R1294" s="5"/>
      <c r="U1294" s="35"/>
    </row>
    <row r="1295" spans="1:21" ht="30" customHeight="1" x14ac:dyDescent="0.35">
      <c r="A1295" s="185" t="s">
        <v>506</v>
      </c>
      <c r="B1295" s="1280" t="s">
        <v>211</v>
      </c>
      <c r="C1295" s="1281"/>
      <c r="D1295" s="1282"/>
      <c r="E1295" s="566" t="s">
        <v>52</v>
      </c>
      <c r="F1295" s="566" t="s">
        <v>53</v>
      </c>
      <c r="G1295" s="1219" t="s">
        <v>54</v>
      </c>
      <c r="H1295" s="1220"/>
      <c r="I1295" s="185" t="s">
        <v>188</v>
      </c>
      <c r="J1295" s="632" t="s">
        <v>195</v>
      </c>
      <c r="K1295" s="1209" t="s">
        <v>180</v>
      </c>
      <c r="L1295" s="1210"/>
      <c r="M1295" s="50"/>
      <c r="N1295" s="50"/>
      <c r="O1295" s="5"/>
      <c r="P1295" s="9"/>
      <c r="Q1295" s="34"/>
      <c r="R1295" s="5"/>
      <c r="U1295" s="35"/>
    </row>
    <row r="1296" spans="1:21" ht="30" customHeight="1" x14ac:dyDescent="0.35">
      <c r="A1296" s="185"/>
      <c r="B1296" s="1202" t="s">
        <v>697</v>
      </c>
      <c r="C1296" s="1203"/>
      <c r="D1296" s="1204"/>
      <c r="E1296" s="566"/>
      <c r="F1296" s="566"/>
      <c r="G1296" s="459"/>
      <c r="H1296" s="460"/>
      <c r="I1296" s="672"/>
      <c r="J1296" s="672"/>
      <c r="K1296" s="566"/>
      <c r="L1296" s="566"/>
      <c r="M1296" s="50"/>
      <c r="N1296" s="50"/>
      <c r="O1296" s="5"/>
      <c r="P1296" s="9"/>
      <c r="Q1296" s="34"/>
      <c r="R1296" s="5"/>
      <c r="U1296" s="35"/>
    </row>
    <row r="1297" spans="1:21" ht="30" customHeight="1" x14ac:dyDescent="0.35">
      <c r="A1297" s="186" t="s">
        <v>465</v>
      </c>
      <c r="B1297" s="1212" t="s">
        <v>698</v>
      </c>
      <c r="C1297" s="1213"/>
      <c r="D1297" s="1214"/>
      <c r="E1297" s="202">
        <f>+Q910</f>
        <v>11.775</v>
      </c>
      <c r="F1297" s="186" t="s">
        <v>108</v>
      </c>
      <c r="G1297" s="788">
        <f>20*62</f>
        <v>1240</v>
      </c>
      <c r="H1297" s="714" t="s">
        <v>609</v>
      </c>
      <c r="I1297" s="204">
        <f>+S910</f>
        <v>1.07</v>
      </c>
      <c r="J1297" s="204">
        <f>+T910</f>
        <v>0.98130841121495327</v>
      </c>
      <c r="K1297" s="194">
        <f t="shared" ref="K1297:K1308" si="28">+E1297*G1297*I1297*J1297</f>
        <v>15331.050000000001</v>
      </c>
      <c r="L1297" s="186" t="s">
        <v>40</v>
      </c>
      <c r="M1297" s="50"/>
      <c r="N1297" s="50"/>
      <c r="O1297" s="5"/>
      <c r="P1297" s="9"/>
      <c r="Q1297" s="34"/>
      <c r="R1297" s="5"/>
      <c r="U1297" s="35"/>
    </row>
    <row r="1298" spans="1:21" ht="30" customHeight="1" x14ac:dyDescent="0.35">
      <c r="A1298" s="186" t="s">
        <v>193</v>
      </c>
      <c r="B1298" s="1212" t="s">
        <v>470</v>
      </c>
      <c r="C1298" s="1213"/>
      <c r="D1298" s="1214"/>
      <c r="E1298" s="202">
        <f>+Q914</f>
        <v>665</v>
      </c>
      <c r="F1298" s="127" t="s">
        <v>40</v>
      </c>
      <c r="G1298" s="788">
        <v>20</v>
      </c>
      <c r="H1298" s="714" t="s">
        <v>610</v>
      </c>
      <c r="I1298" s="204">
        <f>+S914</f>
        <v>1.01</v>
      </c>
      <c r="J1298" s="204">
        <f>+T914</f>
        <v>0.98130841121495327</v>
      </c>
      <c r="K1298" s="194">
        <f t="shared" si="28"/>
        <v>13181.915887850468</v>
      </c>
      <c r="L1298" s="186" t="s">
        <v>40</v>
      </c>
      <c r="M1298" s="50"/>
      <c r="N1298" s="50"/>
      <c r="O1298" s="5"/>
      <c r="P1298" s="9"/>
      <c r="Q1298" s="34"/>
      <c r="R1298" s="5"/>
      <c r="U1298" s="35"/>
    </row>
    <row r="1299" spans="1:21" ht="30" customHeight="1" x14ac:dyDescent="0.35">
      <c r="A1299" s="186" t="s">
        <v>193</v>
      </c>
      <c r="B1299" s="1264" t="s">
        <v>475</v>
      </c>
      <c r="C1299" s="1264"/>
      <c r="D1299" s="1264"/>
      <c r="E1299" s="202">
        <f>+Q916</f>
        <v>478.5</v>
      </c>
      <c r="F1299" s="127" t="s">
        <v>40</v>
      </c>
      <c r="G1299" s="788">
        <v>20</v>
      </c>
      <c r="H1299" s="714" t="s">
        <v>610</v>
      </c>
      <c r="I1299" s="204">
        <f>+S916</f>
        <v>1.01</v>
      </c>
      <c r="J1299" s="204">
        <f>+T916</f>
        <v>0.98130841121495327</v>
      </c>
      <c r="K1299" s="194">
        <f t="shared" si="28"/>
        <v>9485.0327102803749</v>
      </c>
      <c r="L1299" s="186" t="s">
        <v>40</v>
      </c>
      <c r="M1299" s="50"/>
      <c r="N1299" s="50"/>
      <c r="O1299" s="5"/>
      <c r="P1299" s="9"/>
      <c r="Q1299" s="34"/>
      <c r="R1299" s="5"/>
      <c r="U1299" s="35"/>
    </row>
    <row r="1300" spans="1:21" ht="30" customHeight="1" x14ac:dyDescent="0.35">
      <c r="A1300" s="186" t="s">
        <v>465</v>
      </c>
      <c r="B1300" s="1264" t="s">
        <v>699</v>
      </c>
      <c r="C1300" s="1264"/>
      <c r="D1300" s="1264"/>
      <c r="E1300" s="202">
        <f>+Q911</f>
        <v>14.375</v>
      </c>
      <c r="F1300" s="186" t="s">
        <v>108</v>
      </c>
      <c r="G1300" s="788">
        <f>6*468</f>
        <v>2808</v>
      </c>
      <c r="H1300" s="714" t="s">
        <v>609</v>
      </c>
      <c r="I1300" s="204">
        <f>+S911</f>
        <v>1.07</v>
      </c>
      <c r="J1300" s="204">
        <f>+T911</f>
        <v>0.98130841121495327</v>
      </c>
      <c r="K1300" s="194">
        <f t="shared" si="28"/>
        <v>42383.25</v>
      </c>
      <c r="L1300" s="186" t="s">
        <v>40</v>
      </c>
      <c r="M1300" s="50"/>
      <c r="N1300" s="50"/>
      <c r="O1300" s="5"/>
      <c r="P1300" s="9"/>
      <c r="Q1300" s="34"/>
      <c r="R1300" s="5"/>
      <c r="U1300" s="35"/>
    </row>
    <row r="1301" spans="1:21" ht="30" customHeight="1" x14ac:dyDescent="0.35">
      <c r="A1301" s="186" t="s">
        <v>345</v>
      </c>
      <c r="B1301" s="1264" t="s">
        <v>700</v>
      </c>
      <c r="C1301" s="1264"/>
      <c r="D1301" s="1264"/>
      <c r="E1301" s="202">
        <f>+Q912</f>
        <v>22.25</v>
      </c>
      <c r="F1301" s="186" t="s">
        <v>108</v>
      </c>
      <c r="G1301" s="788">
        <f>2152*1</f>
        <v>2152</v>
      </c>
      <c r="H1301" s="714" t="s">
        <v>609</v>
      </c>
      <c r="I1301" s="204">
        <f>+S912</f>
        <v>0.95</v>
      </c>
      <c r="J1301" s="204">
        <f>+T912</f>
        <v>0.98130841121495327</v>
      </c>
      <c r="K1301" s="194">
        <f t="shared" si="28"/>
        <v>44637.658878504677</v>
      </c>
      <c r="L1301" s="186" t="s">
        <v>40</v>
      </c>
      <c r="M1301" s="50"/>
      <c r="N1301" s="50"/>
      <c r="O1301" s="5"/>
      <c r="P1301" s="9"/>
      <c r="Q1301" s="34"/>
      <c r="R1301" s="5"/>
      <c r="U1301" s="35"/>
    </row>
    <row r="1302" spans="1:21" ht="30" customHeight="1" x14ac:dyDescent="0.35">
      <c r="A1302" s="186" t="s">
        <v>345</v>
      </c>
      <c r="B1302" s="1264" t="s">
        <v>701</v>
      </c>
      <c r="C1302" s="1264"/>
      <c r="D1302" s="1264"/>
      <c r="E1302" s="202">
        <f>+Q912</f>
        <v>22.25</v>
      </c>
      <c r="F1302" s="186" t="s">
        <v>108</v>
      </c>
      <c r="G1302" s="788">
        <f>80.7*6</f>
        <v>484.20000000000005</v>
      </c>
      <c r="H1302" s="714" t="s">
        <v>609</v>
      </c>
      <c r="I1302" s="204">
        <f>+S912</f>
        <v>0.95</v>
      </c>
      <c r="J1302" s="204">
        <f>+T912</f>
        <v>0.98130841121495327</v>
      </c>
      <c r="K1302" s="194">
        <f t="shared" si="28"/>
        <v>10043.473247663551</v>
      </c>
      <c r="L1302" s="186" t="s">
        <v>40</v>
      </c>
      <c r="M1302" s="50"/>
      <c r="N1302" s="50"/>
      <c r="O1302" s="5"/>
      <c r="P1302" s="9"/>
      <c r="Q1302" s="34"/>
      <c r="R1302" s="5"/>
      <c r="U1302" s="35"/>
    </row>
    <row r="1303" spans="1:21" ht="30" customHeight="1" x14ac:dyDescent="0.35">
      <c r="A1303" s="186" t="s">
        <v>193</v>
      </c>
      <c r="B1303" s="1264" t="s">
        <v>473</v>
      </c>
      <c r="C1303" s="1264"/>
      <c r="D1303" s="1264"/>
      <c r="E1303" s="202">
        <f>+Q915</f>
        <v>1207.5</v>
      </c>
      <c r="F1303" s="127" t="s">
        <v>40</v>
      </c>
      <c r="G1303" s="788">
        <v>13</v>
      </c>
      <c r="H1303" s="714" t="s">
        <v>610</v>
      </c>
      <c r="I1303" s="204">
        <f>+S915</f>
        <v>1.01</v>
      </c>
      <c r="J1303" s="204">
        <f>+T915</f>
        <v>0.98130841121495327</v>
      </c>
      <c r="K1303" s="194">
        <f t="shared" si="28"/>
        <v>15558.129672897197</v>
      </c>
      <c r="L1303" s="186" t="s">
        <v>40</v>
      </c>
      <c r="M1303" s="50"/>
      <c r="N1303" s="50"/>
      <c r="O1303" s="5"/>
      <c r="P1303" s="9"/>
      <c r="Q1303" s="34"/>
      <c r="R1303" s="5"/>
      <c r="U1303" s="35"/>
    </row>
    <row r="1304" spans="1:21" ht="30" customHeight="1" x14ac:dyDescent="0.35">
      <c r="A1304" s="186" t="s">
        <v>333</v>
      </c>
      <c r="B1304" s="1264" t="s">
        <v>702</v>
      </c>
      <c r="C1304" s="1264"/>
      <c r="D1304" s="1264"/>
      <c r="E1304" s="202">
        <f>+Q921</f>
        <v>25.875</v>
      </c>
      <c r="F1304" s="127" t="s">
        <v>28</v>
      </c>
      <c r="G1304" s="788">
        <f>+((656*1)+(49*6))</f>
        <v>950</v>
      </c>
      <c r="H1304" s="714" t="s">
        <v>613</v>
      </c>
      <c r="I1304" s="204">
        <f>+S921</f>
        <v>1.01</v>
      </c>
      <c r="J1304" s="204">
        <f>+T921</f>
        <v>0.98130841121495327</v>
      </c>
      <c r="K1304" s="194">
        <f t="shared" si="28"/>
        <v>24363.005257009347</v>
      </c>
      <c r="L1304" s="186" t="s">
        <v>40</v>
      </c>
      <c r="M1304" s="50"/>
      <c r="N1304" s="50"/>
      <c r="O1304" s="5"/>
      <c r="P1304" s="9"/>
      <c r="Q1304" s="34"/>
      <c r="R1304" s="5"/>
      <c r="U1304" s="35"/>
    </row>
    <row r="1305" spans="1:21" ht="30" customHeight="1" x14ac:dyDescent="0.35">
      <c r="A1305" s="186" t="s">
        <v>333</v>
      </c>
      <c r="B1305" s="1212" t="s">
        <v>627</v>
      </c>
      <c r="C1305" s="1213"/>
      <c r="D1305" s="1214"/>
      <c r="E1305" s="202">
        <f>+Q922</f>
        <v>3960</v>
      </c>
      <c r="F1305" s="127" t="s">
        <v>40</v>
      </c>
      <c r="G1305" s="788">
        <v>7</v>
      </c>
      <c r="H1305" s="714" t="s">
        <v>610</v>
      </c>
      <c r="I1305" s="204">
        <f>+S922</f>
        <v>1.01</v>
      </c>
      <c r="J1305" s="204">
        <f>+T922</f>
        <v>0.98130841121495327</v>
      </c>
      <c r="K1305" s="194">
        <f t="shared" si="28"/>
        <v>27473.88785046729</v>
      </c>
      <c r="L1305" s="186" t="s">
        <v>40</v>
      </c>
      <c r="M1305" s="50"/>
      <c r="N1305" s="50"/>
      <c r="O1305" s="5"/>
      <c r="P1305" s="9"/>
      <c r="Q1305" s="34"/>
      <c r="R1305" s="5"/>
      <c r="U1305" s="35"/>
    </row>
    <row r="1306" spans="1:21" ht="30" customHeight="1" x14ac:dyDescent="0.35">
      <c r="A1306" s="186" t="s">
        <v>193</v>
      </c>
      <c r="B1306" s="1212" t="s">
        <v>562</v>
      </c>
      <c r="C1306" s="1213"/>
      <c r="D1306" s="1214"/>
      <c r="E1306" s="202">
        <f>+Q917</f>
        <v>1485</v>
      </c>
      <c r="F1306" s="127" t="s">
        <v>40</v>
      </c>
      <c r="G1306" s="788">
        <v>13</v>
      </c>
      <c r="H1306" s="714" t="s">
        <v>610</v>
      </c>
      <c r="I1306" s="204">
        <f t="shared" ref="I1306:J1308" si="29">+S917</f>
        <v>1.01</v>
      </c>
      <c r="J1306" s="204">
        <f t="shared" si="29"/>
        <v>0.98130841121495327</v>
      </c>
      <c r="K1306" s="194">
        <f t="shared" si="28"/>
        <v>19133.600467289718</v>
      </c>
      <c r="L1306" s="186" t="s">
        <v>40</v>
      </c>
      <c r="M1306" s="50"/>
      <c r="N1306" s="50"/>
      <c r="O1306" s="5"/>
      <c r="P1306" s="9"/>
      <c r="Q1306" s="34"/>
      <c r="R1306" s="5"/>
      <c r="U1306" s="35"/>
    </row>
    <row r="1307" spans="1:21" ht="30" customHeight="1" x14ac:dyDescent="0.35">
      <c r="A1307" s="186" t="s">
        <v>477</v>
      </c>
      <c r="B1307" s="1264" t="s">
        <v>628</v>
      </c>
      <c r="C1307" s="1264"/>
      <c r="D1307" s="1264"/>
      <c r="E1307" s="202">
        <f>+Q918</f>
        <v>207.9</v>
      </c>
      <c r="F1307" s="127" t="s">
        <v>40</v>
      </c>
      <c r="G1307" s="788">
        <f>(5*6)+(4*27)</f>
        <v>138</v>
      </c>
      <c r="H1307" s="714" t="s">
        <v>610</v>
      </c>
      <c r="I1307" s="204">
        <f t="shared" si="29"/>
        <v>1.01</v>
      </c>
      <c r="J1307" s="204">
        <f t="shared" si="29"/>
        <v>0.98130841121495327</v>
      </c>
      <c r="K1307" s="194">
        <f t="shared" si="28"/>
        <v>28435.473925233648</v>
      </c>
      <c r="L1307" s="186" t="s">
        <v>40</v>
      </c>
      <c r="M1307" s="50"/>
      <c r="N1307" s="50"/>
      <c r="O1307" s="5"/>
      <c r="P1307" s="9"/>
      <c r="Q1307" s="34"/>
      <c r="R1307" s="5"/>
      <c r="U1307" s="35"/>
    </row>
    <row r="1308" spans="1:21" ht="30" customHeight="1" x14ac:dyDescent="0.35">
      <c r="A1308" s="186" t="s">
        <v>479</v>
      </c>
      <c r="B1308" s="1212" t="s">
        <v>629</v>
      </c>
      <c r="C1308" s="1213"/>
      <c r="D1308" s="1214"/>
      <c r="E1308" s="202">
        <f>+Q919</f>
        <v>25.849999999999998</v>
      </c>
      <c r="F1308" s="127" t="s">
        <v>28</v>
      </c>
      <c r="G1308" s="788">
        <f>3280*34</f>
        <v>111520</v>
      </c>
      <c r="H1308" s="714" t="s">
        <v>613</v>
      </c>
      <c r="I1308" s="204">
        <f t="shared" si="29"/>
        <v>1.01</v>
      </c>
      <c r="J1308" s="204">
        <f t="shared" si="29"/>
        <v>0.98130841121495327</v>
      </c>
      <c r="K1308" s="194">
        <f t="shared" si="28"/>
        <v>2857197.1177570089</v>
      </c>
      <c r="L1308" s="186" t="s">
        <v>40</v>
      </c>
      <c r="M1308" s="50"/>
      <c r="N1308" s="50"/>
      <c r="O1308" s="5"/>
      <c r="P1308" s="9"/>
      <c r="Q1308" s="34"/>
      <c r="R1308" s="5"/>
      <c r="U1308" s="35"/>
    </row>
    <row r="1309" spans="1:21" ht="30" customHeight="1" x14ac:dyDescent="0.35">
      <c r="A1309" s="186">
        <v>93410</v>
      </c>
      <c r="B1309" s="1212" t="s">
        <v>703</v>
      </c>
      <c r="C1309" s="1213"/>
      <c r="D1309" s="1214"/>
      <c r="E1309" s="201">
        <f>+Q929</f>
        <v>2.91</v>
      </c>
      <c r="F1309" s="127" t="s">
        <v>4</v>
      </c>
      <c r="G1309" s="788">
        <v>2392</v>
      </c>
      <c r="H1309" s="714" t="s">
        <v>614</v>
      </c>
      <c r="I1309" s="752">
        <f>+S929</f>
        <v>0.93863689284411045</v>
      </c>
      <c r="J1309" s="186"/>
      <c r="K1309" s="194">
        <f>+E1309*G1309*I1309</f>
        <v>6533.5885927578565</v>
      </c>
      <c r="L1309" s="186" t="s">
        <v>40</v>
      </c>
      <c r="M1309" s="50"/>
      <c r="N1309" s="50"/>
      <c r="O1309" s="5"/>
      <c r="P1309" s="9"/>
      <c r="Q1309" s="34"/>
      <c r="R1309" s="5"/>
      <c r="U1309" s="35"/>
    </row>
    <row r="1310" spans="1:21" ht="30" customHeight="1" x14ac:dyDescent="0.35">
      <c r="A1310" s="186">
        <v>93210</v>
      </c>
      <c r="B1310" s="1212" t="s">
        <v>704</v>
      </c>
      <c r="C1310" s="1213"/>
      <c r="D1310" s="1214"/>
      <c r="E1310" s="202">
        <f>+Q930</f>
        <v>149.81</v>
      </c>
      <c r="F1310" s="127" t="s">
        <v>16</v>
      </c>
      <c r="G1310" s="788">
        <v>9225</v>
      </c>
      <c r="H1310" s="714" t="s">
        <v>617</v>
      </c>
      <c r="I1310" s="835">
        <f>+S930</f>
        <v>0.93863689284411045</v>
      </c>
      <c r="J1310" s="186"/>
      <c r="K1310" s="194">
        <f>+E1310*G1310*I1310</f>
        <v>1297193.6046591054</v>
      </c>
      <c r="L1310" s="186" t="s">
        <v>40</v>
      </c>
      <c r="M1310" s="50"/>
      <c r="N1310" s="50"/>
      <c r="O1310" s="5"/>
      <c r="P1310" s="9"/>
      <c r="Q1310" s="34"/>
      <c r="R1310" s="5"/>
      <c r="U1310" s="35"/>
    </row>
    <row r="1311" spans="1:21" ht="30" customHeight="1" x14ac:dyDescent="0.35">
      <c r="A1311" s="186" t="s">
        <v>465</v>
      </c>
      <c r="B1311" s="1212" t="s">
        <v>705</v>
      </c>
      <c r="C1311" s="1213"/>
      <c r="D1311" s="1214"/>
      <c r="E1311" s="201">
        <f>+Q910</f>
        <v>11.775</v>
      </c>
      <c r="F1311" s="127" t="s">
        <v>108</v>
      </c>
      <c r="G1311" s="788">
        <f>5*144</f>
        <v>720</v>
      </c>
      <c r="H1311" s="714" t="s">
        <v>609</v>
      </c>
      <c r="I1311" s="186">
        <f>+S910</f>
        <v>1.07</v>
      </c>
      <c r="J1311" s="204">
        <f>+T910</f>
        <v>0.98130841121495327</v>
      </c>
      <c r="K1311" s="194">
        <f>+E1311*G1311*I1311*J1311</f>
        <v>8901.9000000000015</v>
      </c>
      <c r="L1311" s="186" t="s">
        <v>40</v>
      </c>
      <c r="M1311" s="50"/>
      <c r="N1311" s="50"/>
      <c r="O1311" s="5"/>
      <c r="P1311" s="9"/>
      <c r="Q1311" s="34"/>
      <c r="R1311" s="5"/>
      <c r="U1311" s="35"/>
    </row>
    <row r="1312" spans="1:21" ht="30" customHeight="1" x14ac:dyDescent="0.35">
      <c r="A1312" s="1511" t="s">
        <v>3028</v>
      </c>
      <c r="B1312" s="1521"/>
      <c r="C1312" s="1521"/>
      <c r="D1312" s="1237"/>
      <c r="E1312" s="194"/>
      <c r="F1312" s="186"/>
      <c r="G1312" s="503"/>
      <c r="H1312" s="534"/>
      <c r="I1312" s="186"/>
      <c r="J1312" s="186" t="s">
        <v>251</v>
      </c>
      <c r="K1312" s="194">
        <f>SUM(K1297:K1311)</f>
        <v>4419852.6889060689</v>
      </c>
      <c r="L1312" s="186" t="s">
        <v>40</v>
      </c>
      <c r="M1312" s="50"/>
      <c r="N1312" s="50"/>
      <c r="O1312" s="5"/>
      <c r="P1312" s="9"/>
      <c r="Q1312" s="34"/>
      <c r="R1312" s="5"/>
      <c r="U1312" s="35"/>
    </row>
    <row r="1313" spans="1:21" ht="30" customHeight="1" thickBot="1" x14ac:dyDescent="0.4">
      <c r="A1313" s="1522"/>
      <c r="B1313" s="1523"/>
      <c r="C1313" s="1523"/>
      <c r="D1313" s="1524"/>
      <c r="E1313" s="503"/>
      <c r="F1313" s="503"/>
      <c r="G1313" s="1366" t="s">
        <v>257</v>
      </c>
      <c r="H1313" s="1367"/>
      <c r="I1313" s="1368"/>
      <c r="J1313" s="560">
        <f>VLOOKUP(B1294,'Mil Cost Premiums for PUCs'!$A$4:$R$285,18,FALSE)</f>
        <v>1.0485669999999998</v>
      </c>
      <c r="K1313" s="193">
        <f>+K1312*J1313</f>
        <v>4634511.6744481688</v>
      </c>
      <c r="L1313" s="186" t="s">
        <v>40</v>
      </c>
      <c r="M1313" s="50"/>
      <c r="N1313" s="50"/>
      <c r="O1313" s="5"/>
      <c r="P1313" s="9"/>
      <c r="Q1313" s="34"/>
      <c r="R1313" s="5"/>
      <c r="U1313" s="35"/>
    </row>
    <row r="1314" spans="1:21" ht="30" customHeight="1" thickBot="1" x14ac:dyDescent="0.4">
      <c r="A1314" s="1199"/>
      <c r="B1314" s="1200"/>
      <c r="C1314" s="1200"/>
      <c r="D1314" s="1200"/>
      <c r="E1314" s="1200"/>
      <c r="F1314" s="1200"/>
      <c r="G1314" s="1200"/>
      <c r="H1314" s="1200"/>
      <c r="I1314" s="1200"/>
      <c r="J1314" s="1200"/>
      <c r="K1314" s="1200"/>
      <c r="L1314" s="1201"/>
      <c r="M1314" s="50"/>
      <c r="N1314" s="50"/>
      <c r="O1314" s="5"/>
      <c r="P1314" s="9"/>
      <c r="Q1314" s="34"/>
      <c r="R1314" s="5"/>
      <c r="U1314" s="35"/>
    </row>
    <row r="1315" spans="1:21" ht="30" customHeight="1" x14ac:dyDescent="0.35">
      <c r="A1315" s="388" t="s">
        <v>1</v>
      </c>
      <c r="B1315" s="389">
        <v>1776</v>
      </c>
      <c r="C1315" s="1288" t="s">
        <v>706</v>
      </c>
      <c r="D1315" s="1289"/>
      <c r="E1315" s="392" t="s">
        <v>3</v>
      </c>
      <c r="F1315" s="525" t="s">
        <v>40</v>
      </c>
      <c r="G1315" s="841" t="s">
        <v>707</v>
      </c>
      <c r="H1315" s="728">
        <v>1</v>
      </c>
      <c r="I1315" s="392" t="s">
        <v>5</v>
      </c>
      <c r="J1315" s="1556" t="s">
        <v>3010</v>
      </c>
      <c r="K1315" s="1556"/>
      <c r="L1315" s="1557"/>
      <c r="M1315" s="50"/>
      <c r="N1315" s="50"/>
      <c r="O1315" s="5"/>
      <c r="P1315" s="9"/>
      <c r="Q1315" s="34"/>
      <c r="R1315" s="5"/>
      <c r="U1315" s="35"/>
    </row>
    <row r="1316" spans="1:21" ht="30" customHeight="1" x14ac:dyDescent="0.35">
      <c r="A1316" s="185" t="s">
        <v>506</v>
      </c>
      <c r="B1316" s="1280" t="s">
        <v>211</v>
      </c>
      <c r="C1316" s="1281"/>
      <c r="D1316" s="1282"/>
      <c r="E1316" s="566" t="s">
        <v>52</v>
      </c>
      <c r="F1316" s="566" t="s">
        <v>53</v>
      </c>
      <c r="G1316" s="1219" t="s">
        <v>54</v>
      </c>
      <c r="H1316" s="1220"/>
      <c r="I1316" s="185" t="s">
        <v>188</v>
      </c>
      <c r="J1316" s="185" t="s">
        <v>195</v>
      </c>
      <c r="K1316" s="1209" t="s">
        <v>180</v>
      </c>
      <c r="L1316" s="1210"/>
      <c r="M1316" s="50"/>
      <c r="N1316" s="50"/>
      <c r="O1316" s="5"/>
      <c r="P1316" s="9"/>
      <c r="Q1316" s="34"/>
      <c r="R1316" s="5"/>
      <c r="U1316" s="35"/>
    </row>
    <row r="1317" spans="1:21" ht="30" customHeight="1" x14ac:dyDescent="0.35">
      <c r="A1317" s="186" t="s">
        <v>465</v>
      </c>
      <c r="B1317" s="1212" t="s">
        <v>708</v>
      </c>
      <c r="C1317" s="1213"/>
      <c r="D1317" s="1214"/>
      <c r="E1317" s="202">
        <f>+Q910</f>
        <v>11.775</v>
      </c>
      <c r="F1317" s="186" t="s">
        <v>108</v>
      </c>
      <c r="G1317" s="788">
        <f>26*62</f>
        <v>1612</v>
      </c>
      <c r="H1317" s="714" t="s">
        <v>609</v>
      </c>
      <c r="I1317" s="204">
        <f>+S910</f>
        <v>1.07</v>
      </c>
      <c r="J1317" s="204">
        <f>+T910</f>
        <v>0.98130841121495327</v>
      </c>
      <c r="K1317" s="194">
        <f>+E1317*G1317*I1317*J1317</f>
        <v>19930.365000000002</v>
      </c>
      <c r="L1317" s="186" t="s">
        <v>40</v>
      </c>
      <c r="M1317" s="50"/>
      <c r="N1317" s="50"/>
      <c r="O1317" s="5"/>
      <c r="P1317" s="9"/>
      <c r="Q1317" s="34"/>
      <c r="R1317" s="5"/>
      <c r="U1317" s="35"/>
    </row>
    <row r="1318" spans="1:21" ht="30" customHeight="1" x14ac:dyDescent="0.35">
      <c r="A1318" s="186" t="s">
        <v>193</v>
      </c>
      <c r="B1318" s="1212" t="s">
        <v>470</v>
      </c>
      <c r="C1318" s="1213"/>
      <c r="D1318" s="1214"/>
      <c r="E1318" s="202">
        <f>+Q914</f>
        <v>665</v>
      </c>
      <c r="F1318" s="127" t="s">
        <v>40</v>
      </c>
      <c r="G1318" s="788">
        <v>26</v>
      </c>
      <c r="H1318" s="714" t="s">
        <v>610</v>
      </c>
      <c r="I1318" s="204">
        <f>+S914</f>
        <v>1.01</v>
      </c>
      <c r="J1318" s="204">
        <f>+T914</f>
        <v>0.98130841121495327</v>
      </c>
      <c r="K1318" s="194">
        <f>+E1318*G1318*I1318*J1318</f>
        <v>17136.490654205609</v>
      </c>
      <c r="L1318" s="186" t="s">
        <v>40</v>
      </c>
      <c r="M1318" s="50"/>
      <c r="N1318" s="50"/>
      <c r="O1318" s="5"/>
      <c r="P1318" s="9"/>
      <c r="Q1318" s="34"/>
      <c r="R1318" s="5"/>
      <c r="U1318" s="35"/>
    </row>
    <row r="1319" spans="1:21" ht="30" customHeight="1" x14ac:dyDescent="0.35">
      <c r="A1319" s="186" t="s">
        <v>193</v>
      </c>
      <c r="B1319" s="1212" t="s">
        <v>475</v>
      </c>
      <c r="C1319" s="1213"/>
      <c r="D1319" s="1214"/>
      <c r="E1319" s="202">
        <f>+Q916</f>
        <v>478.5</v>
      </c>
      <c r="F1319" s="127" t="s">
        <v>40</v>
      </c>
      <c r="G1319" s="788">
        <v>26</v>
      </c>
      <c r="H1319" s="714" t="s">
        <v>610</v>
      </c>
      <c r="I1319" s="204">
        <f>+S916</f>
        <v>1.01</v>
      </c>
      <c r="J1319" s="204">
        <f>+T916</f>
        <v>0.98130841121495327</v>
      </c>
      <c r="K1319" s="194">
        <f>+E1319*G1319*I1319*J1319</f>
        <v>12330.542523364486</v>
      </c>
      <c r="L1319" s="186" t="s">
        <v>40</v>
      </c>
      <c r="M1319" s="50"/>
      <c r="N1319" s="50"/>
      <c r="O1319" s="5"/>
      <c r="P1319" s="9"/>
      <c r="Q1319" s="34"/>
      <c r="R1319" s="5"/>
      <c r="U1319" s="35"/>
    </row>
    <row r="1320" spans="1:21" ht="30" customHeight="1" x14ac:dyDescent="0.35">
      <c r="A1320" s="186" t="s">
        <v>477</v>
      </c>
      <c r="B1320" s="1264" t="s">
        <v>628</v>
      </c>
      <c r="C1320" s="1264"/>
      <c r="D1320" s="1264"/>
      <c r="E1320" s="202">
        <f>+Q918</f>
        <v>207.9</v>
      </c>
      <c r="F1320" s="127" t="s">
        <v>40</v>
      </c>
      <c r="G1320" s="788">
        <v>104</v>
      </c>
      <c r="H1320" s="714" t="s">
        <v>610</v>
      </c>
      <c r="I1320" s="204">
        <f>+S918</f>
        <v>1.01</v>
      </c>
      <c r="J1320" s="204">
        <f>+T918</f>
        <v>0.98130841121495327</v>
      </c>
      <c r="K1320" s="194">
        <f>+E1320*G1320*I1320*J1320</f>
        <v>21429.632523364489</v>
      </c>
      <c r="L1320" s="186" t="s">
        <v>40</v>
      </c>
      <c r="M1320" s="50"/>
      <c r="N1320" s="50"/>
      <c r="O1320" s="795"/>
      <c r="P1320" s="9"/>
      <c r="Q1320" s="34"/>
      <c r="R1320" s="5"/>
      <c r="U1320" s="35"/>
    </row>
    <row r="1321" spans="1:21" ht="30" customHeight="1" x14ac:dyDescent="0.35">
      <c r="A1321" s="186" t="s">
        <v>479</v>
      </c>
      <c r="B1321" s="1212" t="s">
        <v>709</v>
      </c>
      <c r="C1321" s="1213"/>
      <c r="D1321" s="1214"/>
      <c r="E1321" s="202">
        <f>+Q919</f>
        <v>25.849999999999998</v>
      </c>
      <c r="F1321" s="127" t="s">
        <v>28</v>
      </c>
      <c r="G1321" s="788">
        <v>8105</v>
      </c>
      <c r="H1321" s="714" t="s">
        <v>613</v>
      </c>
      <c r="I1321" s="204">
        <f>+S919</f>
        <v>1.01</v>
      </c>
      <c r="J1321" s="204">
        <f>+T919</f>
        <v>0.98130841121495327</v>
      </c>
      <c r="K1321" s="194">
        <f>+E1321*G1321*I1321*J1321</f>
        <v>207654.0767523364</v>
      </c>
      <c r="L1321" s="186" t="s">
        <v>40</v>
      </c>
      <c r="M1321" s="50"/>
      <c r="N1321" s="50"/>
      <c r="O1321" s="5"/>
      <c r="P1321" s="9"/>
      <c r="Q1321" s="34"/>
      <c r="R1321" s="5"/>
      <c r="U1321" s="35"/>
    </row>
    <row r="1322" spans="1:21" ht="30" customHeight="1" x14ac:dyDescent="0.35">
      <c r="A1322" s="186">
        <v>85110</v>
      </c>
      <c r="B1322" s="1212" t="s">
        <v>710</v>
      </c>
      <c r="C1322" s="1213"/>
      <c r="D1322" s="1214"/>
      <c r="E1322" s="202">
        <f>+Q927</f>
        <v>158.93</v>
      </c>
      <c r="F1322" s="186" t="s">
        <v>4</v>
      </c>
      <c r="G1322" s="788">
        <v>897</v>
      </c>
      <c r="H1322" s="714" t="s">
        <v>614</v>
      </c>
      <c r="I1322" s="835">
        <f>+S927</f>
        <v>0.93863689284411045</v>
      </c>
      <c r="J1322" s="186"/>
      <c r="K1322" s="194">
        <f>+E1322*G1322*I1322</f>
        <v>133812.27255760386</v>
      </c>
      <c r="L1322" s="186" t="s">
        <v>40</v>
      </c>
      <c r="M1322" s="50"/>
      <c r="N1322" s="50"/>
      <c r="O1322" s="5"/>
      <c r="P1322" s="9"/>
      <c r="Q1322" s="34"/>
      <c r="R1322" s="5"/>
      <c r="U1322" s="35"/>
    </row>
    <row r="1323" spans="1:21" ht="30" customHeight="1" x14ac:dyDescent="0.35">
      <c r="A1323" s="186">
        <v>85110</v>
      </c>
      <c r="B1323" s="1212" t="s">
        <v>711</v>
      </c>
      <c r="C1323" s="1213"/>
      <c r="D1323" s="1214"/>
      <c r="E1323" s="202">
        <f>+Q926</f>
        <v>35.07</v>
      </c>
      <c r="F1323" s="127" t="s">
        <v>4</v>
      </c>
      <c r="G1323" s="788">
        <v>1435</v>
      </c>
      <c r="H1323" s="714" t="s">
        <v>614</v>
      </c>
      <c r="I1323" s="835">
        <f>+S926</f>
        <v>0.93863689284411045</v>
      </c>
      <c r="J1323" s="186"/>
      <c r="K1323" s="194">
        <f>+E1323*G1323*I1323</f>
        <v>47237.324018981635</v>
      </c>
      <c r="L1323" s="186" t="s">
        <v>40</v>
      </c>
      <c r="M1323" s="50"/>
      <c r="N1323" s="50"/>
      <c r="O1323" s="5"/>
      <c r="P1323" s="9"/>
      <c r="Q1323" s="34"/>
      <c r="R1323" s="5"/>
      <c r="U1323" s="35"/>
    </row>
    <row r="1324" spans="1:21" ht="30" customHeight="1" x14ac:dyDescent="0.35">
      <c r="A1324" s="186" t="s">
        <v>212</v>
      </c>
      <c r="B1324" s="1212" t="s">
        <v>712</v>
      </c>
      <c r="C1324" s="1213"/>
      <c r="D1324" s="1214"/>
      <c r="E1324" s="202">
        <f>+Q907</f>
        <v>60</v>
      </c>
      <c r="F1324" s="127" t="s">
        <v>108</v>
      </c>
      <c r="G1324" s="788">
        <f>12*600</f>
        <v>7200</v>
      </c>
      <c r="H1324" s="714" t="s">
        <v>609</v>
      </c>
      <c r="I1324" s="204">
        <f>+S907</f>
        <v>1.0900000000000001</v>
      </c>
      <c r="J1324" s="204">
        <f>+T907</f>
        <v>0.98130841121495327</v>
      </c>
      <c r="K1324" s="194">
        <f>+E1324*G1324*I1324*J1324</f>
        <v>462078.50467289728</v>
      </c>
      <c r="L1324" s="186" t="s">
        <v>40</v>
      </c>
      <c r="M1324" s="50"/>
      <c r="N1324" s="50"/>
      <c r="O1324" s="5"/>
      <c r="P1324" s="9"/>
      <c r="Q1324" s="34"/>
      <c r="R1324" s="5"/>
      <c r="U1324" s="35"/>
    </row>
    <row r="1325" spans="1:21" ht="30" customHeight="1" x14ac:dyDescent="0.35">
      <c r="A1325" s="186">
        <v>93410</v>
      </c>
      <c r="B1325" s="1212" t="s">
        <v>713</v>
      </c>
      <c r="C1325" s="1213"/>
      <c r="D1325" s="1214"/>
      <c r="E1325" s="202">
        <f>+Q928</f>
        <v>11.54</v>
      </c>
      <c r="F1325" s="127" t="s">
        <v>16</v>
      </c>
      <c r="G1325" s="788">
        <v>3923</v>
      </c>
      <c r="H1325" s="714" t="s">
        <v>617</v>
      </c>
      <c r="I1325" s="835">
        <f>+S928</f>
        <v>0.93863689284411045</v>
      </c>
      <c r="J1325" s="186"/>
      <c r="K1325" s="194">
        <f>+E1325*G1325*I1325</f>
        <v>42493.425003440716</v>
      </c>
      <c r="L1325" s="186" t="s">
        <v>40</v>
      </c>
      <c r="M1325" s="50"/>
      <c r="N1325" s="50"/>
      <c r="O1325" s="5"/>
      <c r="P1325" s="9"/>
      <c r="Q1325" s="34"/>
      <c r="R1325" s="5"/>
    </row>
    <row r="1326" spans="1:21" ht="30" customHeight="1" x14ac:dyDescent="0.35">
      <c r="A1326" s="186" t="s">
        <v>465</v>
      </c>
      <c r="B1326" s="1212" t="s">
        <v>714</v>
      </c>
      <c r="C1326" s="1213"/>
      <c r="D1326" s="1214"/>
      <c r="E1326" s="201">
        <f>+Q910</f>
        <v>11.775</v>
      </c>
      <c r="F1326" s="127" t="s">
        <v>108</v>
      </c>
      <c r="G1326" s="788">
        <f>4*144</f>
        <v>576</v>
      </c>
      <c r="H1326" s="714" t="s">
        <v>609</v>
      </c>
      <c r="I1326" s="186">
        <f>+S910</f>
        <v>1.07</v>
      </c>
      <c r="J1326" s="204">
        <f>+T910</f>
        <v>0.98130841121495327</v>
      </c>
      <c r="K1326" s="194">
        <f>+E1326*G1326*I1326*J1326</f>
        <v>7121.52</v>
      </c>
      <c r="L1326" s="186" t="s">
        <v>40</v>
      </c>
      <c r="M1326" s="50"/>
      <c r="N1326" s="50"/>
      <c r="P1326" s="9"/>
      <c r="Q1326" s="842"/>
      <c r="U1326" s="35"/>
    </row>
    <row r="1327" spans="1:21" ht="30" customHeight="1" x14ac:dyDescent="0.35">
      <c r="A1327" s="186">
        <v>93210</v>
      </c>
      <c r="B1327" s="1212" t="s">
        <v>715</v>
      </c>
      <c r="C1327" s="1213"/>
      <c r="D1327" s="1214"/>
      <c r="E1327" s="202">
        <f>+Q930</f>
        <v>149.81</v>
      </c>
      <c r="F1327" s="127" t="s">
        <v>16</v>
      </c>
      <c r="G1327" s="788">
        <v>4622</v>
      </c>
      <c r="H1327" s="714" t="s">
        <v>617</v>
      </c>
      <c r="I1327" s="835">
        <f>+S930</f>
        <v>0.93863689284411045</v>
      </c>
      <c r="J1327" s="186"/>
      <c r="K1327" s="194">
        <f>+E1327*G1327*I1327</f>
        <v>649932.66566226399</v>
      </c>
      <c r="L1327" s="186" t="s">
        <v>40</v>
      </c>
      <c r="M1327" s="50"/>
      <c r="N1327" s="50"/>
      <c r="O1327" s="5"/>
      <c r="P1327" s="9"/>
      <c r="Q1327" s="34"/>
      <c r="R1327" s="5"/>
      <c r="U1327" s="35"/>
    </row>
    <row r="1328" spans="1:21" ht="30" customHeight="1" x14ac:dyDescent="0.35">
      <c r="A1328" s="186" t="s">
        <v>461</v>
      </c>
      <c r="B1328" s="1212" t="s">
        <v>716</v>
      </c>
      <c r="C1328" s="1213"/>
      <c r="D1328" s="1214"/>
      <c r="E1328" s="201">
        <f>+Q908</f>
        <v>25.75</v>
      </c>
      <c r="F1328" s="127" t="s">
        <v>108</v>
      </c>
      <c r="G1328" s="788">
        <v>1200</v>
      </c>
      <c r="H1328" s="714" t="s">
        <v>609</v>
      </c>
      <c r="I1328" s="204">
        <f>+S908</f>
        <v>1.03</v>
      </c>
      <c r="J1328" s="204">
        <f>+T908</f>
        <v>0.98130841121495327</v>
      </c>
      <c r="K1328" s="194">
        <f>+E1328*G1328*I1328*J1328</f>
        <v>31232.102803738318</v>
      </c>
      <c r="L1328" s="186" t="s">
        <v>40</v>
      </c>
      <c r="M1328" s="50"/>
      <c r="N1328" s="50"/>
      <c r="O1328" s="5"/>
      <c r="P1328" s="9"/>
      <c r="Q1328" s="34"/>
      <c r="R1328" s="5"/>
      <c r="U1328" s="35"/>
    </row>
    <row r="1329" spans="1:21" ht="30" customHeight="1" x14ac:dyDescent="0.35">
      <c r="A1329" s="1511" t="s">
        <v>3028</v>
      </c>
      <c r="B1329" s="1521"/>
      <c r="C1329" s="1521"/>
      <c r="D1329" s="1237"/>
      <c r="E1329" s="194"/>
      <c r="F1329" s="186"/>
      <c r="G1329" s="503"/>
      <c r="H1329" s="534"/>
      <c r="I1329" s="186"/>
      <c r="J1329" s="186" t="s">
        <v>251</v>
      </c>
      <c r="K1329" s="194">
        <f>SUM(K1317:K1328)</f>
        <v>1652388.9221721967</v>
      </c>
      <c r="L1329" s="186" t="s">
        <v>40</v>
      </c>
      <c r="M1329" s="50"/>
      <c r="N1329" s="50"/>
      <c r="O1329" s="5"/>
      <c r="P1329" s="9"/>
      <c r="Q1329" s="34"/>
      <c r="R1329" s="5"/>
      <c r="U1329" s="35"/>
    </row>
    <row r="1330" spans="1:21" ht="30" customHeight="1" thickBot="1" x14ac:dyDescent="0.4">
      <c r="A1330" s="1522"/>
      <c r="B1330" s="1523"/>
      <c r="C1330" s="1523"/>
      <c r="D1330" s="1524"/>
      <c r="E1330" s="503"/>
      <c r="F1330" s="503"/>
      <c r="G1330" s="1366" t="s">
        <v>257</v>
      </c>
      <c r="H1330" s="1367"/>
      <c r="I1330" s="1368"/>
      <c r="J1330" s="560">
        <f>VLOOKUP(B1315,'Mil Cost Premiums for PUCs'!$A$4:$R$285,18,FALSE)</f>
        <v>1.0821211439999998</v>
      </c>
      <c r="K1330" s="193">
        <f>+K1329*J1330</f>
        <v>1788084.9907939041</v>
      </c>
      <c r="L1330" s="186" t="s">
        <v>40</v>
      </c>
      <c r="M1330" s="50"/>
      <c r="N1330" s="50"/>
      <c r="O1330" s="5"/>
      <c r="P1330" s="9"/>
      <c r="Q1330" s="34"/>
      <c r="R1330" s="5"/>
      <c r="U1330" s="35"/>
    </row>
    <row r="1331" spans="1:21" ht="30" customHeight="1" thickBot="1" x14ac:dyDescent="0.4">
      <c r="A1331" s="1199"/>
      <c r="B1331" s="1200"/>
      <c r="C1331" s="1200"/>
      <c r="D1331" s="1200"/>
      <c r="E1331" s="1200"/>
      <c r="F1331" s="1200"/>
      <c r="G1331" s="1200"/>
      <c r="H1331" s="1200"/>
      <c r="I1331" s="1200"/>
      <c r="J1331" s="1200"/>
      <c r="K1331" s="1200"/>
      <c r="L1331" s="1201"/>
      <c r="M1331" s="50"/>
      <c r="N1331" s="50"/>
      <c r="O1331" s="5"/>
      <c r="P1331" s="9"/>
      <c r="Q1331" s="34"/>
      <c r="R1331" s="5"/>
      <c r="U1331" s="35"/>
    </row>
    <row r="1332" spans="1:21" ht="30" customHeight="1" x14ac:dyDescent="0.35">
      <c r="A1332" s="388" t="s">
        <v>1</v>
      </c>
      <c r="B1332" s="389">
        <v>1777</v>
      </c>
      <c r="C1332" s="1205" t="s">
        <v>717</v>
      </c>
      <c r="D1332" s="1206"/>
      <c r="E1332" s="392" t="s">
        <v>3</v>
      </c>
      <c r="F1332" s="525" t="s">
        <v>504</v>
      </c>
      <c r="G1332" s="841" t="s">
        <v>718</v>
      </c>
      <c r="H1332" s="728">
        <v>1</v>
      </c>
      <c r="I1332" s="392" t="s">
        <v>5</v>
      </c>
      <c r="J1332" s="1556" t="s">
        <v>3010</v>
      </c>
      <c r="K1332" s="1556"/>
      <c r="L1332" s="1557"/>
      <c r="M1332" s="50"/>
      <c r="N1332" s="50"/>
      <c r="O1332" s="5"/>
      <c r="P1332" s="9"/>
      <c r="Q1332" s="34"/>
      <c r="R1332" s="5"/>
      <c r="U1332" s="35"/>
    </row>
    <row r="1333" spans="1:21" ht="30" customHeight="1" x14ac:dyDescent="0.35">
      <c r="A1333" s="185" t="s">
        <v>506</v>
      </c>
      <c r="B1333" s="1280" t="s">
        <v>211</v>
      </c>
      <c r="C1333" s="1281"/>
      <c r="D1333" s="1282"/>
      <c r="E1333" s="566" t="s">
        <v>52</v>
      </c>
      <c r="F1333" s="566" t="s">
        <v>53</v>
      </c>
      <c r="G1333" s="1219" t="s">
        <v>54</v>
      </c>
      <c r="H1333" s="1220"/>
      <c r="I1333" s="185" t="s">
        <v>188</v>
      </c>
      <c r="J1333" s="632" t="s">
        <v>195</v>
      </c>
      <c r="K1333" s="1209" t="s">
        <v>180</v>
      </c>
      <c r="L1333" s="1210"/>
      <c r="M1333" s="50"/>
      <c r="N1333" s="50"/>
      <c r="O1333" s="5"/>
      <c r="P1333" s="9"/>
      <c r="Q1333" s="34"/>
      <c r="R1333" s="5"/>
      <c r="U1333" s="35"/>
    </row>
    <row r="1334" spans="1:21" ht="30" customHeight="1" x14ac:dyDescent="0.35">
      <c r="A1334" s="185"/>
      <c r="B1334" s="1202" t="s">
        <v>719</v>
      </c>
      <c r="C1334" s="1203"/>
      <c r="D1334" s="1204"/>
      <c r="E1334" s="566"/>
      <c r="F1334" s="566"/>
      <c r="G1334" s="459"/>
      <c r="H1334" s="460"/>
      <c r="I1334" s="672"/>
      <c r="J1334" s="672"/>
      <c r="K1334" s="566"/>
      <c r="L1334" s="566"/>
      <c r="M1334" s="50"/>
      <c r="N1334" s="50"/>
      <c r="O1334" s="5"/>
      <c r="P1334" s="9"/>
      <c r="Q1334" s="34"/>
      <c r="R1334" s="5"/>
      <c r="U1334" s="35"/>
    </row>
    <row r="1335" spans="1:21" ht="30" customHeight="1" x14ac:dyDescent="0.35">
      <c r="A1335" s="186" t="s">
        <v>465</v>
      </c>
      <c r="B1335" s="1212" t="s">
        <v>720</v>
      </c>
      <c r="C1335" s="1213"/>
      <c r="D1335" s="1214"/>
      <c r="E1335" s="202">
        <f>+Q910</f>
        <v>11.775</v>
      </c>
      <c r="F1335" s="186" t="s">
        <v>108</v>
      </c>
      <c r="G1335" s="788">
        <f>9*62</f>
        <v>558</v>
      </c>
      <c r="H1335" s="714" t="s">
        <v>508</v>
      </c>
      <c r="I1335" s="204">
        <f>+S910</f>
        <v>1.07</v>
      </c>
      <c r="J1335" s="204">
        <f>+T910</f>
        <v>0.98130841121495327</v>
      </c>
      <c r="K1335" s="194">
        <f t="shared" ref="K1335:K1346" si="30">+E1335*G1335*I1335*J1335</f>
        <v>6898.9725000000008</v>
      </c>
      <c r="L1335" s="186" t="s">
        <v>504</v>
      </c>
      <c r="M1335" s="50"/>
      <c r="N1335" s="50"/>
      <c r="O1335" s="5"/>
      <c r="P1335" s="9"/>
      <c r="Q1335" s="34"/>
      <c r="R1335" s="5"/>
      <c r="U1335" s="35"/>
    </row>
    <row r="1336" spans="1:21" ht="30" customHeight="1" x14ac:dyDescent="0.35">
      <c r="A1336" s="186" t="s">
        <v>193</v>
      </c>
      <c r="B1336" s="1212" t="s">
        <v>470</v>
      </c>
      <c r="C1336" s="1213"/>
      <c r="D1336" s="1214"/>
      <c r="E1336" s="202">
        <f>+Q914</f>
        <v>665</v>
      </c>
      <c r="F1336" s="127" t="s">
        <v>40</v>
      </c>
      <c r="G1336" s="788">
        <v>9</v>
      </c>
      <c r="H1336" s="714" t="s">
        <v>509</v>
      </c>
      <c r="I1336" s="204">
        <f>+S914</f>
        <v>1.01</v>
      </c>
      <c r="J1336" s="204">
        <f>+T914</f>
        <v>0.98130841121495327</v>
      </c>
      <c r="K1336" s="194">
        <f t="shared" si="30"/>
        <v>5931.8621495327106</v>
      </c>
      <c r="L1336" s="186" t="s">
        <v>504</v>
      </c>
      <c r="M1336" s="50"/>
      <c r="N1336" s="50"/>
      <c r="O1336" s="5"/>
      <c r="P1336" s="9"/>
      <c r="Q1336" s="34"/>
      <c r="R1336" s="5"/>
      <c r="U1336" s="35"/>
    </row>
    <row r="1337" spans="1:21" ht="30" customHeight="1" x14ac:dyDescent="0.35">
      <c r="A1337" s="186" t="s">
        <v>193</v>
      </c>
      <c r="B1337" s="1264" t="s">
        <v>475</v>
      </c>
      <c r="C1337" s="1264"/>
      <c r="D1337" s="1264"/>
      <c r="E1337" s="202">
        <f>+Q916</f>
        <v>478.5</v>
      </c>
      <c r="F1337" s="127" t="s">
        <v>40</v>
      </c>
      <c r="G1337" s="788">
        <v>9</v>
      </c>
      <c r="H1337" s="714" t="s">
        <v>509</v>
      </c>
      <c r="I1337" s="204">
        <f>+S916</f>
        <v>1.01</v>
      </c>
      <c r="J1337" s="204">
        <f>+T916</f>
        <v>0.98130841121495327</v>
      </c>
      <c r="K1337" s="194">
        <f t="shared" si="30"/>
        <v>4268.2647196261678</v>
      </c>
      <c r="L1337" s="186" t="s">
        <v>504</v>
      </c>
      <c r="M1337" s="50"/>
      <c r="N1337" s="50"/>
      <c r="O1337" s="5"/>
      <c r="P1337" s="9"/>
      <c r="Q1337" s="34"/>
      <c r="R1337" s="5"/>
      <c r="U1337" s="35"/>
    </row>
    <row r="1338" spans="1:21" ht="30" customHeight="1" x14ac:dyDescent="0.35">
      <c r="A1338" s="186" t="s">
        <v>465</v>
      </c>
      <c r="B1338" s="1264" t="s">
        <v>560</v>
      </c>
      <c r="C1338" s="1264"/>
      <c r="D1338" s="1264"/>
      <c r="E1338" s="202">
        <f>+Q911</f>
        <v>14.375</v>
      </c>
      <c r="F1338" s="186" t="s">
        <v>108</v>
      </c>
      <c r="G1338" s="788">
        <f>2*468</f>
        <v>936</v>
      </c>
      <c r="H1338" s="714" t="s">
        <v>508</v>
      </c>
      <c r="I1338" s="204">
        <f>+S911</f>
        <v>1.07</v>
      </c>
      <c r="J1338" s="204">
        <f>+T911</f>
        <v>0.98130841121495327</v>
      </c>
      <c r="K1338" s="194">
        <f t="shared" si="30"/>
        <v>14127.75</v>
      </c>
      <c r="L1338" s="186" t="s">
        <v>504</v>
      </c>
      <c r="M1338" s="50"/>
      <c r="N1338" s="50"/>
      <c r="O1338" s="5"/>
      <c r="P1338" s="9"/>
      <c r="Q1338" s="34"/>
      <c r="R1338" s="5"/>
      <c r="U1338" s="35"/>
    </row>
    <row r="1339" spans="1:21" ht="30" customHeight="1" x14ac:dyDescent="0.35">
      <c r="A1339" s="186" t="s">
        <v>345</v>
      </c>
      <c r="B1339" s="1264" t="s">
        <v>721</v>
      </c>
      <c r="C1339" s="1264"/>
      <c r="D1339" s="1264"/>
      <c r="E1339" s="202">
        <f>+Q912</f>
        <v>22.25</v>
      </c>
      <c r="F1339" s="186" t="s">
        <v>108</v>
      </c>
      <c r="G1339" s="788">
        <f>2152*2</f>
        <v>4304</v>
      </c>
      <c r="H1339" s="714" t="s">
        <v>508</v>
      </c>
      <c r="I1339" s="204">
        <f>+S912</f>
        <v>0.95</v>
      </c>
      <c r="J1339" s="204">
        <f>+T912</f>
        <v>0.98130841121495327</v>
      </c>
      <c r="K1339" s="194">
        <f t="shared" si="30"/>
        <v>89275.317757009354</v>
      </c>
      <c r="L1339" s="186" t="s">
        <v>504</v>
      </c>
      <c r="M1339" s="50"/>
      <c r="N1339" s="50"/>
      <c r="O1339" s="5"/>
      <c r="P1339" s="9"/>
      <c r="Q1339" s="34"/>
      <c r="R1339" s="5"/>
      <c r="U1339" s="35"/>
    </row>
    <row r="1340" spans="1:21" ht="30" customHeight="1" x14ac:dyDescent="0.35">
      <c r="A1340" s="186" t="s">
        <v>345</v>
      </c>
      <c r="B1340" s="1264" t="s">
        <v>643</v>
      </c>
      <c r="C1340" s="1264"/>
      <c r="D1340" s="1264"/>
      <c r="E1340" s="202">
        <f>+Q912</f>
        <v>22.25</v>
      </c>
      <c r="F1340" s="186" t="s">
        <v>108</v>
      </c>
      <c r="G1340" s="839">
        <f>80.7*1</f>
        <v>80.7</v>
      </c>
      <c r="H1340" s="714" t="s">
        <v>508</v>
      </c>
      <c r="I1340" s="204">
        <f>+S912</f>
        <v>0.95</v>
      </c>
      <c r="J1340" s="204">
        <f>+T912</f>
        <v>0.98130841121495327</v>
      </c>
      <c r="K1340" s="194">
        <f t="shared" si="30"/>
        <v>1673.9122079439251</v>
      </c>
      <c r="L1340" s="186" t="s">
        <v>504</v>
      </c>
      <c r="M1340" s="50"/>
      <c r="N1340" s="50"/>
      <c r="O1340" s="5"/>
      <c r="P1340" s="9"/>
      <c r="Q1340" s="34"/>
      <c r="R1340" s="5"/>
      <c r="U1340" s="35"/>
    </row>
    <row r="1341" spans="1:21" ht="30" customHeight="1" x14ac:dyDescent="0.35">
      <c r="A1341" s="186" t="s">
        <v>193</v>
      </c>
      <c r="B1341" s="1264" t="s">
        <v>473</v>
      </c>
      <c r="C1341" s="1264"/>
      <c r="D1341" s="1264"/>
      <c r="E1341" s="202">
        <f>+Q915</f>
        <v>1207.5</v>
      </c>
      <c r="F1341" s="127" t="s">
        <v>40</v>
      </c>
      <c r="G1341" s="788">
        <v>5</v>
      </c>
      <c r="H1341" s="714" t="s">
        <v>509</v>
      </c>
      <c r="I1341" s="204">
        <f>+S915</f>
        <v>1.01</v>
      </c>
      <c r="J1341" s="204">
        <f>+T915</f>
        <v>0.98130841121495327</v>
      </c>
      <c r="K1341" s="194">
        <f t="shared" si="30"/>
        <v>5983.8960280373831</v>
      </c>
      <c r="L1341" s="186" t="s">
        <v>504</v>
      </c>
      <c r="M1341" s="50"/>
      <c r="N1341" s="50"/>
      <c r="O1341" s="5"/>
      <c r="P1341" s="9"/>
      <c r="Q1341" s="34"/>
      <c r="R1341" s="5"/>
      <c r="U1341" s="35"/>
    </row>
    <row r="1342" spans="1:21" ht="30" customHeight="1" x14ac:dyDescent="0.35">
      <c r="A1342" s="186" t="s">
        <v>333</v>
      </c>
      <c r="B1342" s="1264" t="s">
        <v>722</v>
      </c>
      <c r="C1342" s="1264"/>
      <c r="D1342" s="1264"/>
      <c r="E1342" s="202">
        <f>+Q921</f>
        <v>25.875</v>
      </c>
      <c r="F1342" s="127" t="s">
        <v>28</v>
      </c>
      <c r="G1342" s="788">
        <f>+((656*2)+(49*1))</f>
        <v>1361</v>
      </c>
      <c r="H1342" s="714" t="s">
        <v>511</v>
      </c>
      <c r="I1342" s="204">
        <f>+S921</f>
        <v>1.01</v>
      </c>
      <c r="J1342" s="204">
        <f>+T921</f>
        <v>0.98130841121495327</v>
      </c>
      <c r="K1342" s="194">
        <f t="shared" si="30"/>
        <v>34903.210689252337</v>
      </c>
      <c r="L1342" s="186" t="s">
        <v>504</v>
      </c>
      <c r="M1342" s="50"/>
      <c r="N1342" s="50"/>
      <c r="O1342" s="5"/>
      <c r="P1342" s="9"/>
      <c r="Q1342" s="34"/>
      <c r="R1342" s="5"/>
      <c r="U1342" s="35"/>
    </row>
    <row r="1343" spans="1:21" ht="30" customHeight="1" x14ac:dyDescent="0.35">
      <c r="A1343" s="186" t="s">
        <v>333</v>
      </c>
      <c r="B1343" s="1264" t="s">
        <v>627</v>
      </c>
      <c r="C1343" s="1264"/>
      <c r="D1343" s="1264"/>
      <c r="E1343" s="202">
        <f>+Q922</f>
        <v>3960</v>
      </c>
      <c r="F1343" s="127" t="s">
        <v>40</v>
      </c>
      <c r="G1343" s="788">
        <v>3</v>
      </c>
      <c r="H1343" s="714" t="s">
        <v>509</v>
      </c>
      <c r="I1343" s="204">
        <f>+S922</f>
        <v>1.01</v>
      </c>
      <c r="J1343" s="204">
        <f>+T922</f>
        <v>0.98130841121495327</v>
      </c>
      <c r="K1343" s="194">
        <f t="shared" si="30"/>
        <v>11774.52336448598</v>
      </c>
      <c r="L1343" s="186" t="s">
        <v>504</v>
      </c>
      <c r="M1343" s="50"/>
      <c r="N1343" s="50"/>
      <c r="O1343" s="5"/>
      <c r="P1343" s="9"/>
      <c r="Q1343" s="34"/>
      <c r="R1343" s="5"/>
      <c r="U1343" s="35"/>
    </row>
    <row r="1344" spans="1:21" ht="30" customHeight="1" x14ac:dyDescent="0.35">
      <c r="A1344" s="186" t="s">
        <v>193</v>
      </c>
      <c r="B1344" s="1264" t="s">
        <v>562</v>
      </c>
      <c r="C1344" s="1264"/>
      <c r="D1344" s="1264"/>
      <c r="E1344" s="202">
        <f>+Q917</f>
        <v>1485</v>
      </c>
      <c r="F1344" s="127" t="s">
        <v>40</v>
      </c>
      <c r="G1344" s="788">
        <v>5</v>
      </c>
      <c r="H1344" s="714" t="s">
        <v>509</v>
      </c>
      <c r="I1344" s="204">
        <f t="shared" ref="I1344:J1346" si="31">+S917</f>
        <v>1.01</v>
      </c>
      <c r="J1344" s="204">
        <f t="shared" si="31"/>
        <v>0.98130841121495327</v>
      </c>
      <c r="K1344" s="194">
        <f t="shared" si="30"/>
        <v>7359.0771028037379</v>
      </c>
      <c r="L1344" s="186" t="s">
        <v>504</v>
      </c>
      <c r="M1344" s="50"/>
      <c r="N1344" s="50"/>
      <c r="O1344" s="5"/>
      <c r="P1344" s="9"/>
      <c r="Q1344" s="34"/>
      <c r="R1344" s="5"/>
      <c r="U1344" s="35"/>
    </row>
    <row r="1345" spans="1:21" ht="30" customHeight="1" x14ac:dyDescent="0.35">
      <c r="A1345" s="186" t="s">
        <v>477</v>
      </c>
      <c r="B1345" s="1264" t="s">
        <v>628</v>
      </c>
      <c r="C1345" s="1264"/>
      <c r="D1345" s="1264"/>
      <c r="E1345" s="202">
        <f>+Q918</f>
        <v>207.9</v>
      </c>
      <c r="F1345" s="127" t="s">
        <v>40</v>
      </c>
      <c r="G1345" s="788">
        <v>46</v>
      </c>
      <c r="H1345" s="714" t="s">
        <v>509</v>
      </c>
      <c r="I1345" s="204">
        <f t="shared" si="31"/>
        <v>1.01</v>
      </c>
      <c r="J1345" s="204">
        <f t="shared" si="31"/>
        <v>0.98130841121495327</v>
      </c>
      <c r="K1345" s="194">
        <f t="shared" si="30"/>
        <v>9478.491308411214</v>
      </c>
      <c r="L1345" s="186" t="s">
        <v>504</v>
      </c>
      <c r="M1345" s="50"/>
      <c r="N1345" s="50"/>
      <c r="O1345" s="5"/>
      <c r="P1345" s="9"/>
      <c r="Q1345" s="34"/>
      <c r="R1345" s="5"/>
      <c r="U1345" s="35"/>
    </row>
    <row r="1346" spans="1:21" ht="30" customHeight="1" x14ac:dyDescent="0.35">
      <c r="A1346" s="186" t="s">
        <v>479</v>
      </c>
      <c r="B1346" s="1212" t="s">
        <v>480</v>
      </c>
      <c r="C1346" s="1213"/>
      <c r="D1346" s="1214"/>
      <c r="E1346" s="202">
        <f>+Q919</f>
        <v>25.849999999999998</v>
      </c>
      <c r="F1346" s="127" t="s">
        <v>28</v>
      </c>
      <c r="G1346" s="788">
        <v>13582</v>
      </c>
      <c r="H1346" s="714" t="s">
        <v>511</v>
      </c>
      <c r="I1346" s="204">
        <f t="shared" si="31"/>
        <v>1.01</v>
      </c>
      <c r="J1346" s="204">
        <f t="shared" si="31"/>
        <v>0.98130841121495327</v>
      </c>
      <c r="K1346" s="194">
        <f t="shared" si="30"/>
        <v>347977.50406542048</v>
      </c>
      <c r="L1346" s="186" t="s">
        <v>504</v>
      </c>
      <c r="M1346" s="50"/>
      <c r="N1346" s="50"/>
      <c r="O1346" s="5"/>
      <c r="P1346" s="9"/>
      <c r="Q1346" s="34"/>
      <c r="R1346" s="5"/>
      <c r="U1346" s="35"/>
    </row>
    <row r="1347" spans="1:21" ht="30" customHeight="1" x14ac:dyDescent="0.35">
      <c r="A1347" s="186">
        <v>93410</v>
      </c>
      <c r="B1347" s="1212" t="s">
        <v>723</v>
      </c>
      <c r="C1347" s="1213"/>
      <c r="D1347" s="1214"/>
      <c r="E1347" s="201">
        <f>+Q929</f>
        <v>2.91</v>
      </c>
      <c r="F1347" s="127" t="s">
        <v>4</v>
      </c>
      <c r="G1347" s="788">
        <v>1435</v>
      </c>
      <c r="H1347" s="714" t="s">
        <v>724</v>
      </c>
      <c r="I1347" s="835">
        <f>+S929</f>
        <v>0.93863689284411045</v>
      </c>
      <c r="J1347" s="186"/>
      <c r="K1347" s="194">
        <f>+E1347*G1347*I1347</f>
        <v>3919.606868983079</v>
      </c>
      <c r="L1347" s="186" t="s">
        <v>504</v>
      </c>
      <c r="M1347" s="50"/>
      <c r="N1347" s="50"/>
      <c r="O1347" s="5"/>
      <c r="P1347" s="9"/>
      <c r="Q1347" s="34"/>
      <c r="R1347" s="5"/>
      <c r="U1347" s="35"/>
    </row>
    <row r="1348" spans="1:21" ht="30" customHeight="1" x14ac:dyDescent="0.35">
      <c r="A1348" s="186">
        <v>93410</v>
      </c>
      <c r="B1348" s="1212" t="s">
        <v>725</v>
      </c>
      <c r="C1348" s="1213"/>
      <c r="D1348" s="1214"/>
      <c r="E1348" s="202">
        <f>+Q928</f>
        <v>11.54</v>
      </c>
      <c r="F1348" s="127" t="s">
        <v>16</v>
      </c>
      <c r="G1348" s="788">
        <v>17139</v>
      </c>
      <c r="H1348" s="714" t="s">
        <v>514</v>
      </c>
      <c r="I1348" s="835">
        <f>+S928</f>
        <v>0.93863689284411045</v>
      </c>
      <c r="J1348" s="186"/>
      <c r="K1348" s="194">
        <f>+E1348*G1348*I1348</f>
        <v>185647.41553249312</v>
      </c>
      <c r="L1348" s="186" t="s">
        <v>504</v>
      </c>
      <c r="M1348" s="50"/>
      <c r="N1348" s="50"/>
      <c r="O1348" s="5"/>
      <c r="P1348" s="9"/>
      <c r="Q1348" s="34"/>
      <c r="R1348" s="5"/>
      <c r="U1348" s="35"/>
    </row>
    <row r="1349" spans="1:21" ht="30" customHeight="1" x14ac:dyDescent="0.35">
      <c r="A1349" s="186">
        <v>93210</v>
      </c>
      <c r="B1349" s="1212" t="s">
        <v>726</v>
      </c>
      <c r="C1349" s="1213"/>
      <c r="D1349" s="1214"/>
      <c r="E1349" s="202">
        <f>+Q930</f>
        <v>149.81</v>
      </c>
      <c r="F1349" s="127" t="s">
        <v>16</v>
      </c>
      <c r="G1349" s="788">
        <v>431</v>
      </c>
      <c r="H1349" s="714" t="s">
        <v>514</v>
      </c>
      <c r="I1349" s="835">
        <f>+S930</f>
        <v>0.93863689284411045</v>
      </c>
      <c r="J1349" s="186"/>
      <c r="K1349" s="194">
        <f>+E1349*G1349*I1349</f>
        <v>60606.010147216737</v>
      </c>
      <c r="L1349" s="186" t="s">
        <v>504</v>
      </c>
      <c r="M1349" s="50"/>
      <c r="N1349" s="50"/>
      <c r="O1349" s="5"/>
      <c r="P1349" s="9"/>
      <c r="Q1349" s="34"/>
      <c r="R1349" s="5"/>
      <c r="U1349" s="35"/>
    </row>
    <row r="1350" spans="1:21" ht="30" customHeight="1" x14ac:dyDescent="0.35">
      <c r="A1350" s="186" t="s">
        <v>461</v>
      </c>
      <c r="B1350" s="1212" t="s">
        <v>727</v>
      </c>
      <c r="C1350" s="1213"/>
      <c r="D1350" s="1214"/>
      <c r="E1350" s="201">
        <f>+Q908</f>
        <v>25.75</v>
      </c>
      <c r="F1350" s="127" t="s">
        <v>108</v>
      </c>
      <c r="G1350" s="788">
        <v>1600</v>
      </c>
      <c r="H1350" s="714" t="s">
        <v>508</v>
      </c>
      <c r="I1350" s="773">
        <f>+S908</f>
        <v>1.03</v>
      </c>
      <c r="J1350" s="204">
        <f>+T908</f>
        <v>0.98130841121495327</v>
      </c>
      <c r="K1350" s="194">
        <f>+E1350*G1350*I1350*J1350</f>
        <v>41642.803738317758</v>
      </c>
      <c r="L1350" s="186" t="s">
        <v>504</v>
      </c>
      <c r="M1350" s="50"/>
      <c r="N1350" s="50"/>
      <c r="O1350" s="5"/>
      <c r="P1350" s="9"/>
      <c r="Q1350" s="34"/>
      <c r="R1350" s="5"/>
      <c r="U1350" s="35"/>
    </row>
    <row r="1351" spans="1:21" ht="30" customHeight="1" x14ac:dyDescent="0.35">
      <c r="A1351" s="1511" t="s">
        <v>3028</v>
      </c>
      <c r="B1351" s="1521"/>
      <c r="C1351" s="1521"/>
      <c r="D1351" s="1237"/>
      <c r="E1351" s="194"/>
      <c r="F1351" s="186"/>
      <c r="G1351" s="503"/>
      <c r="H1351" s="534"/>
      <c r="I1351" s="186"/>
      <c r="J1351" s="186" t="s">
        <v>251</v>
      </c>
      <c r="K1351" s="194">
        <f>SUM(K1335:K1350)</f>
        <v>831468.6181795341</v>
      </c>
      <c r="L1351" s="186" t="s">
        <v>504</v>
      </c>
      <c r="M1351" s="50"/>
      <c r="N1351" s="50"/>
      <c r="O1351" s="5"/>
      <c r="P1351" s="9"/>
      <c r="Q1351" s="34"/>
      <c r="R1351" s="5"/>
      <c r="U1351" s="35"/>
    </row>
    <row r="1352" spans="1:21" ht="30" customHeight="1" thickBot="1" x14ac:dyDescent="0.4">
      <c r="A1352" s="1522"/>
      <c r="B1352" s="1523"/>
      <c r="C1352" s="1523"/>
      <c r="D1352" s="1524"/>
      <c r="E1352" s="503"/>
      <c r="F1352" s="503"/>
      <c r="G1352" s="1366" t="s">
        <v>257</v>
      </c>
      <c r="H1352" s="1367"/>
      <c r="I1352" s="1368"/>
      <c r="J1352" s="560">
        <f>VLOOKUP(B1332,'Mil Cost Premiums for PUCs'!$A$4:$R$285,18,FALSE)</f>
        <v>1.0485669999999998</v>
      </c>
      <c r="K1352" s="193">
        <f>+K1351*J1352</f>
        <v>871850.55455865932</v>
      </c>
      <c r="L1352" s="186" t="s">
        <v>504</v>
      </c>
      <c r="M1352" s="50"/>
      <c r="N1352" s="50"/>
      <c r="O1352" s="5"/>
      <c r="P1352" s="9"/>
      <c r="Q1352" s="34"/>
      <c r="R1352" s="5"/>
      <c r="U1352" s="35"/>
    </row>
    <row r="1353" spans="1:21" ht="30" customHeight="1" thickBot="1" x14ac:dyDescent="0.4">
      <c r="A1353" s="1199"/>
      <c r="B1353" s="1200"/>
      <c r="C1353" s="1200"/>
      <c r="D1353" s="1200"/>
      <c r="E1353" s="1200"/>
      <c r="F1353" s="1200"/>
      <c r="G1353" s="1200"/>
      <c r="H1353" s="1200"/>
      <c r="I1353" s="1200"/>
      <c r="J1353" s="1200"/>
      <c r="K1353" s="1200"/>
      <c r="L1353" s="1201"/>
      <c r="M1353" s="50"/>
      <c r="N1353" s="50"/>
      <c r="O1353" s="5"/>
      <c r="P1353" s="9"/>
      <c r="Q1353" s="34"/>
      <c r="R1353" s="5"/>
      <c r="U1353" s="35"/>
    </row>
    <row r="1354" spans="1:21" ht="30" customHeight="1" x14ac:dyDescent="0.35">
      <c r="A1354" s="388" t="s">
        <v>1</v>
      </c>
      <c r="B1354" s="389">
        <v>1781</v>
      </c>
      <c r="C1354" s="1205" t="s">
        <v>728</v>
      </c>
      <c r="D1354" s="1206"/>
      <c r="E1354" s="392" t="s">
        <v>3</v>
      </c>
      <c r="F1354" s="393" t="s">
        <v>504</v>
      </c>
      <c r="G1354" s="841" t="s">
        <v>729</v>
      </c>
      <c r="H1354" s="728">
        <v>1</v>
      </c>
      <c r="I1354" s="392" t="s">
        <v>5</v>
      </c>
      <c r="J1354" s="1556" t="s">
        <v>3010</v>
      </c>
      <c r="K1354" s="1556"/>
      <c r="L1354" s="1557"/>
      <c r="M1354" s="50"/>
      <c r="N1354" s="50"/>
      <c r="O1354" s="5"/>
      <c r="P1354" s="9"/>
      <c r="Q1354" s="34"/>
      <c r="R1354" s="5"/>
      <c r="U1354" s="35"/>
    </row>
    <row r="1355" spans="1:21" ht="30" customHeight="1" x14ac:dyDescent="0.35">
      <c r="A1355" s="185" t="s">
        <v>506</v>
      </c>
      <c r="B1355" s="1280" t="s">
        <v>211</v>
      </c>
      <c r="C1355" s="1281"/>
      <c r="D1355" s="1282"/>
      <c r="E1355" s="566" t="s">
        <v>52</v>
      </c>
      <c r="F1355" s="566" t="s">
        <v>53</v>
      </c>
      <c r="G1355" s="1219" t="s">
        <v>54</v>
      </c>
      <c r="H1355" s="1220"/>
      <c r="I1355" s="185" t="s">
        <v>188</v>
      </c>
      <c r="J1355" s="632" t="s">
        <v>195</v>
      </c>
      <c r="K1355" s="1209" t="s">
        <v>180</v>
      </c>
      <c r="L1355" s="1210"/>
      <c r="M1355" s="50"/>
      <c r="N1355" s="50"/>
      <c r="O1355" s="5"/>
      <c r="P1355" s="9"/>
      <c r="Q1355" s="34"/>
      <c r="R1355" s="5"/>
      <c r="U1355" s="35"/>
    </row>
    <row r="1356" spans="1:21" ht="30" customHeight="1" x14ac:dyDescent="0.35">
      <c r="A1356" s="186">
        <v>93210</v>
      </c>
      <c r="B1356" s="1212" t="s">
        <v>730</v>
      </c>
      <c r="C1356" s="1213"/>
      <c r="D1356" s="1214"/>
      <c r="E1356" s="202">
        <f>+Q930</f>
        <v>149.81</v>
      </c>
      <c r="F1356" s="127" t="s">
        <v>16</v>
      </c>
      <c r="G1356" s="788">
        <v>205</v>
      </c>
      <c r="H1356" s="714" t="s">
        <v>514</v>
      </c>
      <c r="I1356" s="224">
        <f>+S930</f>
        <v>0.93863689284411045</v>
      </c>
      <c r="J1356" s="186"/>
      <c r="K1356" s="194">
        <f>+E1356*G1356*I1356</f>
        <v>28826.524547980116</v>
      </c>
      <c r="L1356" s="186" t="s">
        <v>504</v>
      </c>
      <c r="M1356" s="50"/>
      <c r="N1356" s="50"/>
      <c r="O1356" s="5"/>
      <c r="P1356" s="9"/>
      <c r="Q1356" s="34"/>
      <c r="R1356" s="5"/>
      <c r="U1356" s="35"/>
    </row>
    <row r="1357" spans="1:21" ht="30" customHeight="1" x14ac:dyDescent="0.35">
      <c r="A1357" s="186" t="s">
        <v>465</v>
      </c>
      <c r="B1357" s="1212" t="s">
        <v>731</v>
      </c>
      <c r="C1357" s="1213"/>
      <c r="D1357" s="1214"/>
      <c r="E1357" s="201">
        <f>+Q910</f>
        <v>11.775</v>
      </c>
      <c r="F1357" s="127" t="s">
        <v>108</v>
      </c>
      <c r="G1357" s="788">
        <v>160</v>
      </c>
      <c r="H1357" s="714" t="s">
        <v>508</v>
      </c>
      <c r="I1357" s="186">
        <f>+S910</f>
        <v>1.07</v>
      </c>
      <c r="J1357" s="204">
        <f>+T910</f>
        <v>0.98130841121495327</v>
      </c>
      <c r="K1357" s="194">
        <f>+E1357*G1357*I1357*J1357</f>
        <v>1978.2</v>
      </c>
      <c r="L1357" s="186" t="s">
        <v>504</v>
      </c>
      <c r="M1357" s="50"/>
      <c r="N1357" s="50"/>
      <c r="O1357" s="5"/>
      <c r="P1357" s="9"/>
      <c r="Q1357" s="34"/>
      <c r="R1357" s="5"/>
      <c r="U1357" s="35"/>
    </row>
    <row r="1358" spans="1:21" ht="30" customHeight="1" x14ac:dyDescent="0.35">
      <c r="A1358" s="186" t="s">
        <v>465</v>
      </c>
      <c r="B1358" s="1212" t="s">
        <v>732</v>
      </c>
      <c r="C1358" s="1213"/>
      <c r="D1358" s="1214"/>
      <c r="E1358" s="201">
        <f>+Q911</f>
        <v>14.375</v>
      </c>
      <c r="F1358" s="186" t="s">
        <v>108</v>
      </c>
      <c r="G1358" s="788">
        <v>1614</v>
      </c>
      <c r="H1358" s="714" t="s">
        <v>508</v>
      </c>
      <c r="I1358" s="186">
        <f>+S911</f>
        <v>1.07</v>
      </c>
      <c r="J1358" s="204">
        <f>+T911</f>
        <v>0.98130841121495327</v>
      </c>
      <c r="K1358" s="194">
        <f>+E1358*G1358*I1358*J1358</f>
        <v>24361.3125</v>
      </c>
      <c r="L1358" s="186" t="s">
        <v>504</v>
      </c>
      <c r="M1358" s="50"/>
      <c r="N1358" s="50"/>
      <c r="O1358" s="5"/>
      <c r="P1358" s="9"/>
      <c r="Q1358" s="34"/>
      <c r="R1358" s="5"/>
      <c r="U1358" s="35"/>
    </row>
    <row r="1359" spans="1:21" ht="30" customHeight="1" x14ac:dyDescent="0.35">
      <c r="A1359" s="186">
        <v>93410</v>
      </c>
      <c r="B1359" s="1212" t="s">
        <v>733</v>
      </c>
      <c r="C1359" s="1213"/>
      <c r="D1359" s="1214"/>
      <c r="E1359" s="202">
        <f>+Q928</f>
        <v>11.54</v>
      </c>
      <c r="F1359" s="127" t="s">
        <v>16</v>
      </c>
      <c r="G1359" s="788">
        <v>235</v>
      </c>
      <c r="H1359" s="714" t="s">
        <v>514</v>
      </c>
      <c r="I1359" s="835">
        <f>+S928</f>
        <v>0.93863689284411045</v>
      </c>
      <c r="J1359" s="186"/>
      <c r="K1359" s="194">
        <f>+E1359*G1359*I1359</f>
        <v>2545.4893897039428</v>
      </c>
      <c r="L1359" s="186" t="s">
        <v>504</v>
      </c>
      <c r="M1359" s="50"/>
      <c r="N1359" s="50"/>
      <c r="O1359" s="5"/>
      <c r="P1359" s="9"/>
      <c r="Q1359" s="34"/>
      <c r="R1359" s="5"/>
      <c r="U1359" s="35"/>
    </row>
    <row r="1360" spans="1:21" ht="30" customHeight="1" x14ac:dyDescent="0.35">
      <c r="A1360" s="1511" t="s">
        <v>3028</v>
      </c>
      <c r="B1360" s="1521"/>
      <c r="C1360" s="1521"/>
      <c r="D1360" s="1237"/>
      <c r="E1360" s="194"/>
      <c r="F1360" s="186"/>
      <c r="G1360" s="503"/>
      <c r="H1360" s="534"/>
      <c r="I1360" s="186"/>
      <c r="J1360" s="186" t="s">
        <v>251</v>
      </c>
      <c r="K1360" s="194">
        <f>SUM(K1356:K1359)</f>
        <v>57711.526437684064</v>
      </c>
      <c r="L1360" s="186" t="s">
        <v>504</v>
      </c>
      <c r="M1360" s="50"/>
      <c r="N1360" s="50"/>
      <c r="O1360" s="5"/>
      <c r="P1360" s="9"/>
      <c r="Q1360" s="34"/>
      <c r="R1360" s="5"/>
      <c r="U1360" s="35"/>
    </row>
    <row r="1361" spans="1:21" ht="30" customHeight="1" thickBot="1" x14ac:dyDescent="0.4">
      <c r="A1361" s="1522"/>
      <c r="B1361" s="1523"/>
      <c r="C1361" s="1523"/>
      <c r="D1361" s="1524"/>
      <c r="E1361" s="503"/>
      <c r="F1361" s="503"/>
      <c r="G1361" s="1366" t="s">
        <v>257</v>
      </c>
      <c r="H1361" s="1367"/>
      <c r="I1361" s="1368"/>
      <c r="J1361" s="560">
        <f>VLOOKUP(B1354,'Mil Cost Premiums for PUCs'!$A$4:$R$285,18,FALSE)</f>
        <v>1.0485669999999998</v>
      </c>
      <c r="K1361" s="193">
        <f>+K1360*J1361</f>
        <v>60514.402142183055</v>
      </c>
      <c r="L1361" s="186" t="s">
        <v>504</v>
      </c>
      <c r="M1361" s="50"/>
      <c r="N1361" s="50"/>
      <c r="O1361" s="5"/>
      <c r="P1361" s="9"/>
      <c r="Q1361" s="34"/>
      <c r="R1361" s="5"/>
      <c r="U1361" s="35"/>
    </row>
    <row r="1362" spans="1:21" ht="30" customHeight="1" thickBot="1" x14ac:dyDescent="0.4">
      <c r="A1362" s="1199"/>
      <c r="B1362" s="1200"/>
      <c r="C1362" s="1200"/>
      <c r="D1362" s="1200"/>
      <c r="E1362" s="1200"/>
      <c r="F1362" s="1200"/>
      <c r="G1362" s="1200"/>
      <c r="H1362" s="1200"/>
      <c r="I1362" s="1200"/>
      <c r="J1362" s="1200"/>
      <c r="K1362" s="1200"/>
      <c r="L1362" s="1201"/>
      <c r="M1362" s="50"/>
      <c r="N1362" s="50"/>
      <c r="O1362" s="5"/>
      <c r="P1362" s="9"/>
      <c r="Q1362" s="34"/>
      <c r="R1362" s="5"/>
      <c r="U1362" s="35"/>
    </row>
    <row r="1363" spans="1:21" ht="30" customHeight="1" x14ac:dyDescent="0.35">
      <c r="A1363" s="388" t="s">
        <v>1</v>
      </c>
      <c r="B1363" s="389">
        <v>1782</v>
      </c>
      <c r="C1363" s="1205" t="s">
        <v>734</v>
      </c>
      <c r="D1363" s="1206"/>
      <c r="E1363" s="392" t="s">
        <v>3</v>
      </c>
      <c r="F1363" s="393" t="s">
        <v>504</v>
      </c>
      <c r="G1363" s="394" t="s">
        <v>735</v>
      </c>
      <c r="H1363" s="728">
        <v>10</v>
      </c>
      <c r="I1363" s="392" t="s">
        <v>5</v>
      </c>
      <c r="J1363" s="1556" t="s">
        <v>3010</v>
      </c>
      <c r="K1363" s="1556"/>
      <c r="L1363" s="1557"/>
      <c r="M1363" s="50"/>
      <c r="N1363" s="50"/>
      <c r="O1363" s="5"/>
      <c r="P1363" s="9"/>
      <c r="Q1363" s="34"/>
      <c r="R1363" s="5"/>
      <c r="U1363" s="35"/>
    </row>
    <row r="1364" spans="1:21" ht="30" customHeight="1" x14ac:dyDescent="0.35">
      <c r="A1364" s="185" t="s">
        <v>506</v>
      </c>
      <c r="B1364" s="1280" t="s">
        <v>211</v>
      </c>
      <c r="C1364" s="1281"/>
      <c r="D1364" s="1282"/>
      <c r="E1364" s="566" t="s">
        <v>52</v>
      </c>
      <c r="F1364" s="566" t="s">
        <v>53</v>
      </c>
      <c r="G1364" s="1219" t="s">
        <v>54</v>
      </c>
      <c r="H1364" s="1220"/>
      <c r="I1364" s="185" t="s">
        <v>188</v>
      </c>
      <c r="J1364" s="632" t="s">
        <v>195</v>
      </c>
      <c r="K1364" s="1209" t="s">
        <v>180</v>
      </c>
      <c r="L1364" s="1210"/>
      <c r="M1364" s="50"/>
      <c r="N1364" s="50"/>
      <c r="O1364" s="5"/>
      <c r="P1364" s="9"/>
      <c r="Q1364" s="34"/>
      <c r="R1364" s="5"/>
      <c r="U1364" s="35"/>
    </row>
    <row r="1365" spans="1:21" ht="30" customHeight="1" x14ac:dyDescent="0.35">
      <c r="A1365" s="185"/>
      <c r="B1365" s="1202" t="s">
        <v>736</v>
      </c>
      <c r="C1365" s="1203"/>
      <c r="D1365" s="1204"/>
      <c r="E1365" s="566"/>
      <c r="F1365" s="566"/>
      <c r="G1365" s="459"/>
      <c r="H1365" s="460"/>
      <c r="I1365" s="672"/>
      <c r="J1365" s="672"/>
      <c r="K1365" s="566"/>
      <c r="L1365" s="566"/>
      <c r="M1365" s="50"/>
      <c r="N1365" s="50"/>
      <c r="O1365" s="5"/>
      <c r="P1365" s="9"/>
      <c r="Q1365" s="34"/>
      <c r="R1365" s="5"/>
      <c r="U1365" s="35"/>
    </row>
    <row r="1366" spans="1:21" ht="30" customHeight="1" x14ac:dyDescent="0.35">
      <c r="A1366" s="186" t="s">
        <v>465</v>
      </c>
      <c r="B1366" s="1212" t="s">
        <v>737</v>
      </c>
      <c r="C1366" s="1213"/>
      <c r="D1366" s="1214"/>
      <c r="E1366" s="202">
        <f>+Q910</f>
        <v>11.775</v>
      </c>
      <c r="F1366" s="186" t="s">
        <v>108</v>
      </c>
      <c r="G1366" s="788">
        <f>9*62</f>
        <v>558</v>
      </c>
      <c r="H1366" s="714" t="s">
        <v>508</v>
      </c>
      <c r="I1366" s="204">
        <f>+S910</f>
        <v>1.07</v>
      </c>
      <c r="J1366" s="204">
        <f>+T910</f>
        <v>0.98130841121495327</v>
      </c>
      <c r="K1366" s="194">
        <f t="shared" ref="K1366:K1374" si="32">+E1366*G1366*I1366*J1366</f>
        <v>6898.9725000000008</v>
      </c>
      <c r="L1366" s="186" t="s">
        <v>504</v>
      </c>
      <c r="M1366" s="50"/>
      <c r="N1366" s="50"/>
      <c r="O1366" s="5"/>
      <c r="P1366" s="9"/>
      <c r="Q1366" s="34"/>
      <c r="R1366" s="5"/>
      <c r="U1366" s="35"/>
    </row>
    <row r="1367" spans="1:21" ht="30" customHeight="1" x14ac:dyDescent="0.35">
      <c r="A1367" s="186" t="s">
        <v>193</v>
      </c>
      <c r="B1367" s="1212" t="s">
        <v>470</v>
      </c>
      <c r="C1367" s="1213"/>
      <c r="D1367" s="1214"/>
      <c r="E1367" s="202">
        <f>+Q914</f>
        <v>665</v>
      </c>
      <c r="F1367" s="127" t="s">
        <v>40</v>
      </c>
      <c r="G1367" s="788">
        <v>9</v>
      </c>
      <c r="H1367" s="714" t="s">
        <v>509</v>
      </c>
      <c r="I1367" s="204">
        <f>+S914</f>
        <v>1.01</v>
      </c>
      <c r="J1367" s="204">
        <f>+T914</f>
        <v>0.98130841121495327</v>
      </c>
      <c r="K1367" s="194">
        <f t="shared" si="32"/>
        <v>5931.8621495327106</v>
      </c>
      <c r="L1367" s="186" t="s">
        <v>504</v>
      </c>
      <c r="M1367" s="50"/>
      <c r="N1367" s="50"/>
      <c r="O1367" s="5"/>
      <c r="P1367" s="9"/>
      <c r="Q1367" s="34"/>
      <c r="R1367" s="5"/>
      <c r="U1367" s="35"/>
    </row>
    <row r="1368" spans="1:21" ht="30" customHeight="1" x14ac:dyDescent="0.35">
      <c r="A1368" s="186" t="s">
        <v>193</v>
      </c>
      <c r="B1368" s="1264" t="s">
        <v>475</v>
      </c>
      <c r="C1368" s="1264"/>
      <c r="D1368" s="1264"/>
      <c r="E1368" s="202">
        <f>+Q916</f>
        <v>478.5</v>
      </c>
      <c r="F1368" s="127" t="s">
        <v>40</v>
      </c>
      <c r="G1368" s="788">
        <v>9</v>
      </c>
      <c r="H1368" s="714" t="s">
        <v>509</v>
      </c>
      <c r="I1368" s="204">
        <f>+S916</f>
        <v>1.01</v>
      </c>
      <c r="J1368" s="204">
        <f>+T916</f>
        <v>0.98130841121495327</v>
      </c>
      <c r="K1368" s="194">
        <f t="shared" si="32"/>
        <v>4268.2647196261678</v>
      </c>
      <c r="L1368" s="186" t="s">
        <v>504</v>
      </c>
      <c r="M1368" s="50"/>
      <c r="N1368" s="50"/>
      <c r="O1368" s="5"/>
      <c r="P1368" s="9"/>
      <c r="Q1368" s="34"/>
      <c r="R1368" s="5"/>
      <c r="U1368" s="35"/>
    </row>
    <row r="1369" spans="1:21" ht="30" customHeight="1" x14ac:dyDescent="0.35">
      <c r="A1369" s="186" t="s">
        <v>465</v>
      </c>
      <c r="B1369" s="1264" t="s">
        <v>738</v>
      </c>
      <c r="C1369" s="1264"/>
      <c r="D1369" s="1264"/>
      <c r="E1369" s="202">
        <f>+Q911</f>
        <v>14.375</v>
      </c>
      <c r="F1369" s="186" t="s">
        <v>108</v>
      </c>
      <c r="G1369" s="788">
        <f>2*468</f>
        <v>936</v>
      </c>
      <c r="H1369" s="714" t="s">
        <v>508</v>
      </c>
      <c r="I1369" s="204">
        <f>+S911</f>
        <v>1.07</v>
      </c>
      <c r="J1369" s="204">
        <f>+T911</f>
        <v>0.98130841121495327</v>
      </c>
      <c r="K1369" s="194">
        <f t="shared" si="32"/>
        <v>14127.75</v>
      </c>
      <c r="L1369" s="186" t="s">
        <v>504</v>
      </c>
      <c r="M1369" s="50"/>
      <c r="N1369" s="50"/>
      <c r="O1369" s="5"/>
      <c r="P1369" s="9"/>
      <c r="Q1369" s="34"/>
      <c r="R1369" s="5"/>
      <c r="U1369" s="35"/>
    </row>
    <row r="1370" spans="1:21" ht="30" customHeight="1" x14ac:dyDescent="0.35">
      <c r="A1370" s="186" t="s">
        <v>345</v>
      </c>
      <c r="B1370" s="1264" t="s">
        <v>643</v>
      </c>
      <c r="C1370" s="1264"/>
      <c r="D1370" s="1264"/>
      <c r="E1370" s="202">
        <f>+Q912</f>
        <v>22.25</v>
      </c>
      <c r="F1370" s="186" t="s">
        <v>108</v>
      </c>
      <c r="G1370" s="839">
        <f>80.7*1</f>
        <v>80.7</v>
      </c>
      <c r="H1370" s="714" t="s">
        <v>508</v>
      </c>
      <c r="I1370" s="204">
        <f>+S912</f>
        <v>0.95</v>
      </c>
      <c r="J1370" s="204">
        <f>+T912</f>
        <v>0.98130841121495327</v>
      </c>
      <c r="K1370" s="194">
        <f t="shared" si="32"/>
        <v>1673.9122079439251</v>
      </c>
      <c r="L1370" s="186" t="s">
        <v>504</v>
      </c>
      <c r="M1370" s="50"/>
      <c r="N1370" s="50"/>
      <c r="O1370" s="5"/>
      <c r="P1370" s="9"/>
      <c r="Q1370" s="34"/>
      <c r="R1370" s="5"/>
      <c r="U1370" s="35"/>
    </row>
    <row r="1371" spans="1:21" ht="30" customHeight="1" x14ac:dyDescent="0.35">
      <c r="A1371" s="186" t="s">
        <v>193</v>
      </c>
      <c r="B1371" s="1264" t="s">
        <v>473</v>
      </c>
      <c r="C1371" s="1264"/>
      <c r="D1371" s="1264"/>
      <c r="E1371" s="202">
        <f>+Q915</f>
        <v>1207.5</v>
      </c>
      <c r="F1371" s="127" t="s">
        <v>40</v>
      </c>
      <c r="G1371" s="788">
        <v>2</v>
      </c>
      <c r="H1371" s="714" t="s">
        <v>509</v>
      </c>
      <c r="I1371" s="204">
        <f>+S915</f>
        <v>1.01</v>
      </c>
      <c r="J1371" s="204">
        <f>+T915</f>
        <v>0.98130841121495327</v>
      </c>
      <c r="K1371" s="194">
        <f t="shared" si="32"/>
        <v>2393.5584112149531</v>
      </c>
      <c r="L1371" s="186" t="s">
        <v>504</v>
      </c>
      <c r="M1371" s="50"/>
      <c r="N1371" s="50"/>
      <c r="O1371" s="5"/>
      <c r="P1371" s="9"/>
      <c r="Q1371" s="34"/>
      <c r="R1371" s="5"/>
      <c r="U1371" s="35"/>
    </row>
    <row r="1372" spans="1:21" ht="30" customHeight="1" x14ac:dyDescent="0.35">
      <c r="A1372" s="186" t="s">
        <v>193</v>
      </c>
      <c r="B1372" s="1264" t="s">
        <v>562</v>
      </c>
      <c r="C1372" s="1264"/>
      <c r="D1372" s="1264"/>
      <c r="E1372" s="202">
        <f>+Q917</f>
        <v>1485</v>
      </c>
      <c r="F1372" s="127" t="s">
        <v>40</v>
      </c>
      <c r="G1372" s="788">
        <v>2</v>
      </c>
      <c r="H1372" s="714" t="s">
        <v>509</v>
      </c>
      <c r="I1372" s="204">
        <f t="shared" ref="I1372:J1374" si="33">+S917</f>
        <v>1.01</v>
      </c>
      <c r="J1372" s="204">
        <f t="shared" si="33"/>
        <v>0.98130841121495327</v>
      </c>
      <c r="K1372" s="194">
        <f t="shared" si="32"/>
        <v>2943.630841121495</v>
      </c>
      <c r="L1372" s="186" t="s">
        <v>504</v>
      </c>
      <c r="M1372" s="50"/>
      <c r="N1372" s="50"/>
      <c r="O1372" s="5"/>
      <c r="P1372" s="9"/>
      <c r="Q1372" s="34"/>
      <c r="R1372" s="5"/>
      <c r="U1372" s="35"/>
    </row>
    <row r="1373" spans="1:21" ht="30" customHeight="1" x14ac:dyDescent="0.35">
      <c r="A1373" s="186" t="s">
        <v>477</v>
      </c>
      <c r="B1373" s="1264" t="s">
        <v>739</v>
      </c>
      <c r="C1373" s="1264"/>
      <c r="D1373" s="1264"/>
      <c r="E1373" s="202">
        <f>+Q918</f>
        <v>207.9</v>
      </c>
      <c r="F1373" s="127" t="s">
        <v>40</v>
      </c>
      <c r="G1373" s="788">
        <v>46</v>
      </c>
      <c r="H1373" s="714" t="s">
        <v>509</v>
      </c>
      <c r="I1373" s="204">
        <f t="shared" si="33"/>
        <v>1.01</v>
      </c>
      <c r="J1373" s="204">
        <f t="shared" si="33"/>
        <v>0.98130841121495327</v>
      </c>
      <c r="K1373" s="194">
        <f t="shared" si="32"/>
        <v>9478.491308411214</v>
      </c>
      <c r="L1373" s="186" t="s">
        <v>504</v>
      </c>
      <c r="M1373" s="50"/>
      <c r="N1373" s="50"/>
      <c r="O1373" s="5"/>
      <c r="P1373" s="9"/>
      <c r="Q1373" s="34"/>
      <c r="R1373" s="5"/>
      <c r="U1373" s="35"/>
    </row>
    <row r="1374" spans="1:21" ht="30" customHeight="1" x14ac:dyDescent="0.35">
      <c r="A1374" s="186" t="s">
        <v>479</v>
      </c>
      <c r="B1374" s="1212" t="s">
        <v>480</v>
      </c>
      <c r="C1374" s="1213"/>
      <c r="D1374" s="1214"/>
      <c r="E1374" s="202">
        <f>+Q919</f>
        <v>25.849999999999998</v>
      </c>
      <c r="F1374" s="127" t="s">
        <v>28</v>
      </c>
      <c r="G1374" s="788">
        <v>2753</v>
      </c>
      <c r="H1374" s="714" t="s">
        <v>511</v>
      </c>
      <c r="I1374" s="204">
        <f t="shared" si="33"/>
        <v>1.01</v>
      </c>
      <c r="J1374" s="204">
        <f t="shared" si="33"/>
        <v>0.98130841121495327</v>
      </c>
      <c r="K1374" s="194">
        <f t="shared" si="32"/>
        <v>70533.210771028025</v>
      </c>
      <c r="L1374" s="186" t="s">
        <v>504</v>
      </c>
      <c r="M1374" s="50"/>
      <c r="N1374" s="50"/>
      <c r="O1374" s="5"/>
      <c r="P1374" s="9"/>
      <c r="Q1374" s="34"/>
      <c r="R1374" s="5"/>
      <c r="U1374" s="35"/>
    </row>
    <row r="1375" spans="1:21" ht="30" customHeight="1" x14ac:dyDescent="0.35">
      <c r="A1375" s="186">
        <v>93410</v>
      </c>
      <c r="B1375" s="1212" t="s">
        <v>723</v>
      </c>
      <c r="C1375" s="1213"/>
      <c r="D1375" s="1214"/>
      <c r="E1375" s="201">
        <f>+Q929</f>
        <v>2.91</v>
      </c>
      <c r="F1375" s="127" t="s">
        <v>4</v>
      </c>
      <c r="G1375" s="788">
        <v>1435</v>
      </c>
      <c r="H1375" s="714" t="s">
        <v>724</v>
      </c>
      <c r="I1375" s="835">
        <f>+S929</f>
        <v>0.93863689284411045</v>
      </c>
      <c r="J1375" s="186"/>
      <c r="K1375" s="194">
        <f>+E1375*G1375*I1375</f>
        <v>3919.606868983079</v>
      </c>
      <c r="L1375" s="186" t="s">
        <v>504</v>
      </c>
      <c r="M1375" s="50"/>
      <c r="N1375" s="50"/>
      <c r="O1375" s="795"/>
      <c r="P1375" s="9"/>
      <c r="Q1375" s="34"/>
      <c r="R1375" s="5"/>
      <c r="U1375" s="35"/>
    </row>
    <row r="1376" spans="1:21" ht="30" customHeight="1" x14ac:dyDescent="0.35">
      <c r="A1376" s="186">
        <v>93410</v>
      </c>
      <c r="B1376" s="1212" t="s">
        <v>676</v>
      </c>
      <c r="C1376" s="1213"/>
      <c r="D1376" s="1214"/>
      <c r="E1376" s="202">
        <f>+Q928</f>
        <v>11.54</v>
      </c>
      <c r="F1376" s="127" t="s">
        <v>16</v>
      </c>
      <c r="G1376" s="788">
        <v>17139</v>
      </c>
      <c r="H1376" s="714" t="s">
        <v>514</v>
      </c>
      <c r="I1376" s="835">
        <f>+S928</f>
        <v>0.93863689284411045</v>
      </c>
      <c r="J1376" s="186"/>
      <c r="K1376" s="194">
        <f>+E1376*G1376*I1376</f>
        <v>185647.41553249312</v>
      </c>
      <c r="L1376" s="186" t="s">
        <v>504</v>
      </c>
      <c r="M1376" s="50"/>
      <c r="N1376" s="50"/>
      <c r="O1376" s="5"/>
      <c r="P1376" s="9"/>
      <c r="Q1376" s="34"/>
      <c r="R1376" s="5"/>
      <c r="U1376" s="35"/>
    </row>
    <row r="1377" spans="1:21" ht="30" customHeight="1" x14ac:dyDescent="0.35">
      <c r="A1377" s="186">
        <v>93210</v>
      </c>
      <c r="B1377" s="1212" t="s">
        <v>726</v>
      </c>
      <c r="C1377" s="1213"/>
      <c r="D1377" s="1214"/>
      <c r="E1377" s="202">
        <f>+Q930</f>
        <v>149.81</v>
      </c>
      <c r="F1377" s="127" t="s">
        <v>16</v>
      </c>
      <c r="G1377" s="788">
        <v>431</v>
      </c>
      <c r="H1377" s="714" t="s">
        <v>514</v>
      </c>
      <c r="I1377" s="835">
        <f>+S930</f>
        <v>0.93863689284411045</v>
      </c>
      <c r="J1377" s="186"/>
      <c r="K1377" s="194">
        <f>+E1377*G1377*I1377</f>
        <v>60606.010147216737</v>
      </c>
      <c r="L1377" s="186" t="s">
        <v>504</v>
      </c>
      <c r="M1377" s="50"/>
      <c r="N1377" s="50"/>
      <c r="O1377" s="5"/>
      <c r="P1377" s="9"/>
      <c r="Q1377" s="34"/>
      <c r="R1377" s="5"/>
      <c r="U1377" s="35"/>
    </row>
    <row r="1378" spans="1:21" ht="30" customHeight="1" x14ac:dyDescent="0.35">
      <c r="A1378" s="186" t="s">
        <v>461</v>
      </c>
      <c r="B1378" s="1212" t="s">
        <v>740</v>
      </c>
      <c r="C1378" s="1213"/>
      <c r="D1378" s="1214"/>
      <c r="E1378" s="201">
        <f>+Q908</f>
        <v>25.75</v>
      </c>
      <c r="F1378" s="127" t="s">
        <v>108</v>
      </c>
      <c r="G1378" s="788">
        <v>4800</v>
      </c>
      <c r="H1378" s="714" t="s">
        <v>508</v>
      </c>
      <c r="I1378" s="204">
        <f>+S908</f>
        <v>1.03</v>
      </c>
      <c r="J1378" s="204">
        <f>+T908</f>
        <v>0.98130841121495327</v>
      </c>
      <c r="K1378" s="194">
        <f>+E1378*G1378*I1378*J1378</f>
        <v>124928.41121495327</v>
      </c>
      <c r="L1378" s="186" t="s">
        <v>504</v>
      </c>
      <c r="M1378" s="50"/>
      <c r="N1378" s="50"/>
      <c r="O1378" s="5"/>
      <c r="P1378" s="9"/>
      <c r="Q1378" s="34"/>
      <c r="R1378" s="5"/>
      <c r="U1378" s="35"/>
    </row>
    <row r="1379" spans="1:21" ht="30" customHeight="1" x14ac:dyDescent="0.35">
      <c r="A1379" s="186" t="s">
        <v>465</v>
      </c>
      <c r="B1379" s="1212" t="s">
        <v>741</v>
      </c>
      <c r="C1379" s="1213"/>
      <c r="D1379" s="1214"/>
      <c r="E1379" s="201">
        <f>+Q910</f>
        <v>11.775</v>
      </c>
      <c r="F1379" s="127" t="s">
        <v>108</v>
      </c>
      <c r="G1379" s="788">
        <f>4*144</f>
        <v>576</v>
      </c>
      <c r="H1379" s="714" t="s">
        <v>508</v>
      </c>
      <c r="I1379" s="204">
        <f>+S910</f>
        <v>1.07</v>
      </c>
      <c r="J1379" s="204">
        <f>+T910</f>
        <v>0.98130841121495327</v>
      </c>
      <c r="K1379" s="194">
        <f>+E1379*G1379*I1379*J1379</f>
        <v>7121.52</v>
      </c>
      <c r="L1379" s="186" t="s">
        <v>504</v>
      </c>
      <c r="M1379" s="50"/>
      <c r="N1379" s="50"/>
      <c r="O1379" s="5"/>
      <c r="P1379" s="9"/>
      <c r="Q1379" s="34"/>
      <c r="R1379" s="5"/>
      <c r="U1379" s="35"/>
    </row>
    <row r="1380" spans="1:21" ht="30" customHeight="1" x14ac:dyDescent="0.35">
      <c r="A1380" s="186" t="s">
        <v>465</v>
      </c>
      <c r="B1380" s="1212" t="s">
        <v>742</v>
      </c>
      <c r="C1380" s="1213"/>
      <c r="D1380" s="1214"/>
      <c r="E1380" s="201">
        <f>+Q911</f>
        <v>14.375</v>
      </c>
      <c r="F1380" s="186" t="s">
        <v>108</v>
      </c>
      <c r="G1380" s="788">
        <v>2152.8000000000002</v>
      </c>
      <c r="H1380" s="714" t="s">
        <v>508</v>
      </c>
      <c r="I1380" s="204">
        <f>+S911</f>
        <v>1.07</v>
      </c>
      <c r="J1380" s="204">
        <f>+T911</f>
        <v>0.98130841121495327</v>
      </c>
      <c r="K1380" s="194">
        <f>+E1380*G1380*I1380*J1380</f>
        <v>32493.825000000004</v>
      </c>
      <c r="L1380" s="186" t="s">
        <v>504</v>
      </c>
      <c r="M1380" s="50"/>
      <c r="N1380" s="50"/>
      <c r="O1380" s="5"/>
      <c r="P1380" s="9"/>
      <c r="Q1380" s="34"/>
      <c r="R1380" s="5"/>
      <c r="U1380" s="35"/>
    </row>
    <row r="1381" spans="1:21" ht="30" customHeight="1" x14ac:dyDescent="0.35">
      <c r="A1381" s="1511" t="s">
        <v>3028</v>
      </c>
      <c r="B1381" s="1521"/>
      <c r="C1381" s="1521"/>
      <c r="D1381" s="1237"/>
      <c r="E1381" s="194"/>
      <c r="F1381" s="186"/>
      <c r="G1381" s="503"/>
      <c r="H1381" s="534"/>
      <c r="I1381" s="186"/>
      <c r="J1381" s="186" t="s">
        <v>251</v>
      </c>
      <c r="K1381" s="194">
        <f>SUM(K1366:K1380)</f>
        <v>532966.44167252467</v>
      </c>
      <c r="L1381" s="186" t="s">
        <v>504</v>
      </c>
      <c r="M1381" s="50"/>
      <c r="N1381" s="50"/>
      <c r="O1381" s="5"/>
      <c r="P1381" s="9"/>
      <c r="Q1381" s="34"/>
      <c r="R1381" s="5"/>
      <c r="U1381" s="35"/>
    </row>
    <row r="1382" spans="1:21" ht="30" customHeight="1" thickBot="1" x14ac:dyDescent="0.4">
      <c r="A1382" s="1522"/>
      <c r="B1382" s="1523"/>
      <c r="C1382" s="1523"/>
      <c r="D1382" s="1524"/>
      <c r="E1382" s="503"/>
      <c r="F1382" s="503"/>
      <c r="G1382" s="1366" t="s">
        <v>257</v>
      </c>
      <c r="H1382" s="1367"/>
      <c r="I1382" s="1368"/>
      <c r="J1382" s="560">
        <f>VLOOKUP(B1363,'Mil Cost Premiums for PUCs'!$A$4:$R$285,18,FALSE)</f>
        <v>1.0485669999999998</v>
      </c>
      <c r="K1382" s="193">
        <f>+K1381*J1382</f>
        <v>558851.02284523402</v>
      </c>
      <c r="L1382" s="186" t="s">
        <v>504</v>
      </c>
      <c r="M1382" s="50"/>
      <c r="N1382" s="50"/>
      <c r="O1382" s="5"/>
      <c r="P1382" s="9"/>
      <c r="Q1382" s="34"/>
      <c r="R1382" s="5"/>
      <c r="U1382" s="35"/>
    </row>
    <row r="1383" spans="1:21" ht="30" customHeight="1" thickBot="1" x14ac:dyDescent="0.4">
      <c r="A1383" s="1199"/>
      <c r="B1383" s="1200"/>
      <c r="C1383" s="1200"/>
      <c r="D1383" s="1200"/>
      <c r="E1383" s="1200"/>
      <c r="F1383" s="1200"/>
      <c r="G1383" s="1200"/>
      <c r="H1383" s="1200"/>
      <c r="I1383" s="1200"/>
      <c r="J1383" s="1200"/>
      <c r="K1383" s="1200"/>
      <c r="L1383" s="1201"/>
      <c r="M1383" s="50"/>
      <c r="N1383" s="50"/>
      <c r="O1383" s="5"/>
      <c r="P1383" s="9"/>
      <c r="Q1383" s="34"/>
      <c r="R1383" s="5"/>
      <c r="U1383" s="35"/>
    </row>
    <row r="1384" spans="1:21" ht="30" customHeight="1" x14ac:dyDescent="0.35">
      <c r="A1384" s="388" t="s">
        <v>1</v>
      </c>
      <c r="B1384" s="389">
        <v>1783</v>
      </c>
      <c r="C1384" s="1205" t="s">
        <v>2899</v>
      </c>
      <c r="D1384" s="1206"/>
      <c r="E1384" s="392" t="s">
        <v>3</v>
      </c>
      <c r="F1384" s="525" t="s">
        <v>40</v>
      </c>
      <c r="G1384" s="841" t="s">
        <v>743</v>
      </c>
      <c r="H1384" s="728">
        <v>1</v>
      </c>
      <c r="I1384" s="392" t="s">
        <v>5</v>
      </c>
      <c r="J1384" s="1673" t="s">
        <v>2873</v>
      </c>
      <c r="K1384" s="1673"/>
      <c r="L1384" s="1409"/>
      <c r="M1384" s="50"/>
      <c r="N1384" s="50"/>
      <c r="O1384" s="5"/>
      <c r="P1384" s="9"/>
      <c r="Q1384" s="34"/>
      <c r="R1384" s="5"/>
      <c r="U1384" s="35"/>
    </row>
    <row r="1385" spans="1:21" ht="30" customHeight="1" x14ac:dyDescent="0.35">
      <c r="A1385" s="185" t="s">
        <v>177</v>
      </c>
      <c r="B1385" s="1280" t="s">
        <v>211</v>
      </c>
      <c r="C1385" s="1281"/>
      <c r="D1385" s="1282"/>
      <c r="E1385" s="566" t="s">
        <v>52</v>
      </c>
      <c r="F1385" s="566" t="s">
        <v>53</v>
      </c>
      <c r="G1385" s="1219" t="s">
        <v>54</v>
      </c>
      <c r="H1385" s="1220"/>
      <c r="I1385" s="1221" t="s">
        <v>179</v>
      </c>
      <c r="J1385" s="1222"/>
      <c r="K1385" s="1209" t="s">
        <v>180</v>
      </c>
      <c r="L1385" s="1210"/>
      <c r="M1385" s="50"/>
      <c r="N1385" s="50"/>
      <c r="O1385" s="5"/>
      <c r="P1385" s="9"/>
      <c r="Q1385" s="34"/>
      <c r="R1385" s="5"/>
      <c r="U1385" s="35"/>
    </row>
    <row r="1386" spans="1:21" ht="30" customHeight="1" x14ac:dyDescent="0.35">
      <c r="A1386" s="186">
        <v>85110</v>
      </c>
      <c r="B1386" s="1212" t="s">
        <v>2901</v>
      </c>
      <c r="C1386" s="1213"/>
      <c r="D1386" s="1214"/>
      <c r="E1386" s="202">
        <v>187.39</v>
      </c>
      <c r="F1386" s="186" t="s">
        <v>4</v>
      </c>
      <c r="G1386" s="788">
        <v>239</v>
      </c>
      <c r="H1386" s="714" t="s">
        <v>2902</v>
      </c>
      <c r="I1386" s="1400">
        <f>+'FY2024 MILCON Inflation Table'!F23</f>
        <v>0.93863689284411045</v>
      </c>
      <c r="J1386" s="1401"/>
      <c r="K1386" s="194">
        <f>+E1386*G1386*I1386</f>
        <v>42037.988996663829</v>
      </c>
      <c r="L1386" s="186" t="s">
        <v>40</v>
      </c>
      <c r="M1386" s="50"/>
      <c r="N1386" s="50"/>
      <c r="O1386" s="5"/>
      <c r="P1386" s="9"/>
      <c r="Q1386" s="34"/>
      <c r="R1386" s="5"/>
      <c r="U1386" s="35"/>
    </row>
    <row r="1387" spans="1:21" ht="30" customHeight="1" x14ac:dyDescent="0.35">
      <c r="A1387" s="186" t="s">
        <v>465</v>
      </c>
      <c r="B1387" s="1212" t="s">
        <v>2903</v>
      </c>
      <c r="C1387" s="1213"/>
      <c r="D1387" s="1214"/>
      <c r="E1387" s="202">
        <v>187.39</v>
      </c>
      <c r="F1387" s="186" t="s">
        <v>4</v>
      </c>
      <c r="G1387" s="788">
        <v>355.6</v>
      </c>
      <c r="H1387" s="714" t="s">
        <v>2902</v>
      </c>
      <c r="I1387" s="1400">
        <f>+'FY2024 MILCON Inflation Table'!F23</f>
        <v>0.93863689284411045</v>
      </c>
      <c r="J1387" s="1401"/>
      <c r="K1387" s="194">
        <f>+E1387*G1387*I1387</f>
        <v>62546.899109680577</v>
      </c>
      <c r="L1387" s="186" t="s">
        <v>40</v>
      </c>
      <c r="M1387" s="50"/>
      <c r="N1387" s="50"/>
      <c r="O1387" s="5"/>
      <c r="P1387" s="9"/>
      <c r="Q1387" s="34"/>
      <c r="R1387" s="5"/>
      <c r="U1387" s="35"/>
    </row>
    <row r="1388" spans="1:21" ht="30" customHeight="1" x14ac:dyDescent="0.35">
      <c r="A1388" s="186">
        <v>93410</v>
      </c>
      <c r="B1388" s="1212" t="s">
        <v>2900</v>
      </c>
      <c r="C1388" s="1213"/>
      <c r="D1388" s="1214"/>
      <c r="E1388" s="202">
        <v>11.54</v>
      </c>
      <c r="F1388" s="127" t="s">
        <v>16</v>
      </c>
      <c r="G1388" s="788">
        <v>4081</v>
      </c>
      <c r="H1388" s="714" t="s">
        <v>2904</v>
      </c>
      <c r="I1388" s="1400">
        <f>+'FY2024 MILCON Inflation Table'!F23</f>
        <v>0.93863689284411045</v>
      </c>
      <c r="J1388" s="1401"/>
      <c r="K1388" s="194">
        <f>+E1388*G1388*I1388</f>
        <v>44204.860422901242</v>
      </c>
      <c r="L1388" s="186" t="s">
        <v>40</v>
      </c>
      <c r="M1388" s="50"/>
      <c r="N1388" s="50"/>
      <c r="O1388" s="5"/>
      <c r="P1388" s="9"/>
      <c r="Q1388" s="34"/>
      <c r="R1388" s="5"/>
      <c r="U1388" s="35"/>
    </row>
    <row r="1389" spans="1:21" ht="30" customHeight="1" x14ac:dyDescent="0.35">
      <c r="A1389" s="1511" t="s">
        <v>2905</v>
      </c>
      <c r="B1389" s="1521"/>
      <c r="C1389" s="1521"/>
      <c r="D1389" s="1237"/>
      <c r="E1389" s="194"/>
      <c r="F1389" s="186"/>
      <c r="G1389" s="503"/>
      <c r="H1389" s="534"/>
      <c r="I1389" s="186"/>
      <c r="J1389" s="186" t="s">
        <v>251</v>
      </c>
      <c r="K1389" s="194">
        <f>SUM(K1386:K1388)</f>
        <v>148789.74852924567</v>
      </c>
      <c r="L1389" s="186" t="s">
        <v>40</v>
      </c>
      <c r="M1389" s="50"/>
      <c r="N1389" s="50"/>
      <c r="O1389" s="5"/>
      <c r="P1389" s="9"/>
      <c r="Q1389" s="34"/>
      <c r="R1389" s="5"/>
      <c r="U1389" s="35"/>
    </row>
    <row r="1390" spans="1:21" ht="30" customHeight="1" thickBot="1" x14ac:dyDescent="0.4">
      <c r="A1390" s="1522"/>
      <c r="B1390" s="1523"/>
      <c r="C1390" s="1523"/>
      <c r="D1390" s="1524"/>
      <c r="E1390" s="503"/>
      <c r="F1390" s="503"/>
      <c r="G1390" s="1366" t="s">
        <v>37</v>
      </c>
      <c r="H1390" s="1367"/>
      <c r="I1390" s="1368"/>
      <c r="J1390" s="560"/>
      <c r="K1390" s="193">
        <f>+K1389</f>
        <v>148789.74852924567</v>
      </c>
      <c r="L1390" s="186" t="s">
        <v>40</v>
      </c>
      <c r="M1390" s="50"/>
      <c r="N1390" s="50"/>
      <c r="O1390" s="5"/>
      <c r="P1390" s="9"/>
      <c r="Q1390" s="34"/>
      <c r="R1390" s="5"/>
      <c r="S1390" s="35"/>
    </row>
    <row r="1391" spans="1:21" ht="30" customHeight="1" thickBot="1" x14ac:dyDescent="0.4">
      <c r="A1391" s="1199"/>
      <c r="B1391" s="1200"/>
      <c r="C1391" s="1200"/>
      <c r="D1391" s="1200"/>
      <c r="E1391" s="1200"/>
      <c r="F1391" s="1200"/>
      <c r="G1391" s="1200"/>
      <c r="H1391" s="1200"/>
      <c r="I1391" s="1200"/>
      <c r="J1391" s="1200"/>
      <c r="K1391" s="1200"/>
      <c r="L1391" s="1201"/>
      <c r="M1391" s="50"/>
      <c r="N1391" s="50"/>
      <c r="O1391" s="5"/>
      <c r="P1391" s="9"/>
      <c r="Q1391" s="34"/>
      <c r="R1391" s="5"/>
      <c r="S1391" s="35"/>
    </row>
    <row r="1392" spans="1:21" ht="30" customHeight="1" x14ac:dyDescent="0.35">
      <c r="A1392" s="378" t="s">
        <v>1</v>
      </c>
      <c r="B1392" s="855">
        <v>1790</v>
      </c>
      <c r="C1392" s="1487" t="s">
        <v>744</v>
      </c>
      <c r="D1392" s="1488"/>
      <c r="E1392" s="856" t="s">
        <v>3</v>
      </c>
      <c r="F1392" s="857" t="s">
        <v>40</v>
      </c>
      <c r="G1392" s="858" t="s">
        <v>735</v>
      </c>
      <c r="H1392" s="859">
        <v>1</v>
      </c>
      <c r="I1392" s="856" t="s">
        <v>5</v>
      </c>
      <c r="J1392" s="1556" t="s">
        <v>3010</v>
      </c>
      <c r="K1392" s="1556"/>
      <c r="L1392" s="1557"/>
      <c r="M1392" s="50"/>
      <c r="N1392" s="50"/>
      <c r="O1392" s="5"/>
      <c r="P1392" s="9"/>
      <c r="Q1392" s="34"/>
      <c r="R1392" s="5"/>
      <c r="S1392" s="35"/>
    </row>
    <row r="1393" spans="1:25" ht="30" customHeight="1" x14ac:dyDescent="0.35">
      <c r="A1393" s="246" t="s">
        <v>506</v>
      </c>
      <c r="B1393" s="1342" t="s">
        <v>211</v>
      </c>
      <c r="C1393" s="1343"/>
      <c r="D1393" s="1344"/>
      <c r="E1393" s="566" t="s">
        <v>52</v>
      </c>
      <c r="F1393" s="566" t="s">
        <v>53</v>
      </c>
      <c r="G1393" s="1219" t="s">
        <v>54</v>
      </c>
      <c r="H1393" s="1220"/>
      <c r="I1393" s="446" t="s">
        <v>188</v>
      </c>
      <c r="J1393" s="446" t="s">
        <v>195</v>
      </c>
      <c r="K1393" s="1249" t="s">
        <v>180</v>
      </c>
      <c r="L1393" s="1674"/>
      <c r="M1393" s="50"/>
      <c r="N1393" s="50"/>
      <c r="O1393" s="5"/>
      <c r="P1393" s="9"/>
      <c r="Q1393" s="34"/>
      <c r="R1393" s="5"/>
      <c r="S1393" s="35"/>
    </row>
    <row r="1394" spans="1:25" ht="30" customHeight="1" x14ac:dyDescent="0.35">
      <c r="A1394" s="246"/>
      <c r="B1394" s="1369" t="s">
        <v>745</v>
      </c>
      <c r="C1394" s="1671"/>
      <c r="D1394" s="1672"/>
      <c r="E1394" s="566"/>
      <c r="F1394" s="566"/>
      <c r="G1394" s="459"/>
      <c r="H1394" s="460"/>
      <c r="I1394" s="446"/>
      <c r="J1394" s="632"/>
      <c r="K1394" s="603"/>
      <c r="L1394" s="860"/>
      <c r="M1394" s="50"/>
      <c r="N1394" s="50"/>
      <c r="O1394" s="861"/>
      <c r="P1394" s="9"/>
      <c r="Q1394" s="34"/>
      <c r="R1394" s="5"/>
      <c r="S1394" s="35"/>
    </row>
    <row r="1395" spans="1:25" ht="30" customHeight="1" x14ac:dyDescent="0.35">
      <c r="A1395" s="244" t="s">
        <v>465</v>
      </c>
      <c r="B1395" s="1369" t="s">
        <v>746</v>
      </c>
      <c r="C1395" s="1370"/>
      <c r="D1395" s="1371"/>
      <c r="E1395" s="322">
        <f>+Q910</f>
        <v>11.775</v>
      </c>
      <c r="F1395" s="271" t="s">
        <v>108</v>
      </c>
      <c r="G1395" s="862">
        <f>6*62</f>
        <v>372</v>
      </c>
      <c r="H1395" s="776" t="s">
        <v>609</v>
      </c>
      <c r="I1395" s="782">
        <f>+S910</f>
        <v>1.07</v>
      </c>
      <c r="J1395" s="782">
        <f>+T910</f>
        <v>0.98130841121495327</v>
      </c>
      <c r="K1395" s="279">
        <f t="shared" ref="K1395:K1402" si="34">+E1395*G1395*I1395*J1395</f>
        <v>4599.3150000000005</v>
      </c>
      <c r="L1395" s="245" t="s">
        <v>40</v>
      </c>
      <c r="M1395" s="50"/>
      <c r="N1395" s="50"/>
      <c r="O1395" s="863"/>
      <c r="P1395" s="9"/>
      <c r="Q1395" s="34"/>
      <c r="R1395" s="5"/>
      <c r="S1395" s="35"/>
    </row>
    <row r="1396" spans="1:25" ht="30" customHeight="1" x14ac:dyDescent="0.35">
      <c r="A1396" s="244" t="s">
        <v>193</v>
      </c>
      <c r="B1396" s="1369" t="s">
        <v>470</v>
      </c>
      <c r="C1396" s="1370"/>
      <c r="D1396" s="1371"/>
      <c r="E1396" s="322">
        <f>+Q914</f>
        <v>665</v>
      </c>
      <c r="F1396" s="764" t="s">
        <v>40</v>
      </c>
      <c r="G1396" s="862">
        <v>6</v>
      </c>
      <c r="H1396" s="776" t="s">
        <v>610</v>
      </c>
      <c r="I1396" s="782">
        <f>+S914</f>
        <v>1.01</v>
      </c>
      <c r="J1396" s="782">
        <f>+T914</f>
        <v>0.98130841121495327</v>
      </c>
      <c r="K1396" s="279">
        <f t="shared" si="34"/>
        <v>3954.5747663551401</v>
      </c>
      <c r="L1396" s="245" t="s">
        <v>40</v>
      </c>
      <c r="M1396" s="50"/>
      <c r="N1396" s="50"/>
      <c r="O1396" s="5"/>
      <c r="P1396" s="9"/>
      <c r="Q1396" s="34"/>
      <c r="R1396" s="5"/>
      <c r="S1396" s="35"/>
    </row>
    <row r="1397" spans="1:25" ht="30" customHeight="1" x14ac:dyDescent="0.35">
      <c r="A1397" s="244" t="s">
        <v>193</v>
      </c>
      <c r="B1397" s="1369" t="s">
        <v>475</v>
      </c>
      <c r="C1397" s="1370"/>
      <c r="D1397" s="1371"/>
      <c r="E1397" s="322">
        <f>+Q916</f>
        <v>478.5</v>
      </c>
      <c r="F1397" s="764" t="s">
        <v>40</v>
      </c>
      <c r="G1397" s="862">
        <v>6</v>
      </c>
      <c r="H1397" s="776" t="s">
        <v>610</v>
      </c>
      <c r="I1397" s="782">
        <f>+S916</f>
        <v>1.01</v>
      </c>
      <c r="J1397" s="782">
        <f>+T916</f>
        <v>0.98130841121495327</v>
      </c>
      <c r="K1397" s="279">
        <f t="shared" si="34"/>
        <v>2845.509813084112</v>
      </c>
      <c r="L1397" s="245" t="s">
        <v>40</v>
      </c>
      <c r="M1397" s="50"/>
      <c r="N1397" s="50"/>
      <c r="O1397" s="5"/>
      <c r="P1397" s="9"/>
      <c r="Q1397" s="34"/>
      <c r="R1397" s="5"/>
      <c r="S1397" s="35"/>
    </row>
    <row r="1398" spans="1:25" ht="30" customHeight="1" x14ac:dyDescent="0.35">
      <c r="A1398" s="244" t="s">
        <v>465</v>
      </c>
      <c r="B1398" s="1369" t="s">
        <v>747</v>
      </c>
      <c r="C1398" s="1370"/>
      <c r="D1398" s="1371"/>
      <c r="E1398" s="322">
        <f>+Q911</f>
        <v>14.375</v>
      </c>
      <c r="F1398" s="271" t="s">
        <v>108</v>
      </c>
      <c r="G1398" s="862">
        <f>2*468</f>
        <v>936</v>
      </c>
      <c r="H1398" s="776" t="s">
        <v>609</v>
      </c>
      <c r="I1398" s="782">
        <f>+S911</f>
        <v>1.07</v>
      </c>
      <c r="J1398" s="782">
        <f>+T911</f>
        <v>0.98130841121495327</v>
      </c>
      <c r="K1398" s="279">
        <f t="shared" si="34"/>
        <v>14127.75</v>
      </c>
      <c r="L1398" s="245" t="s">
        <v>40</v>
      </c>
      <c r="M1398" s="50"/>
      <c r="N1398" s="50"/>
      <c r="O1398" s="797"/>
      <c r="P1398" s="9"/>
      <c r="Q1398" s="34"/>
      <c r="R1398" s="5"/>
      <c r="S1398" s="35"/>
    </row>
    <row r="1399" spans="1:25" ht="30" customHeight="1" x14ac:dyDescent="0.35">
      <c r="A1399" s="244" t="s">
        <v>193</v>
      </c>
      <c r="B1399" s="1369" t="s">
        <v>473</v>
      </c>
      <c r="C1399" s="1370"/>
      <c r="D1399" s="1371"/>
      <c r="E1399" s="322">
        <f>+Q915</f>
        <v>1207.5</v>
      </c>
      <c r="F1399" s="764" t="s">
        <v>40</v>
      </c>
      <c r="G1399" s="862">
        <v>2</v>
      </c>
      <c r="H1399" s="776" t="s">
        <v>610</v>
      </c>
      <c r="I1399" s="782">
        <f>+S915</f>
        <v>1.01</v>
      </c>
      <c r="J1399" s="782">
        <f>+T915</f>
        <v>0.98130841121495327</v>
      </c>
      <c r="K1399" s="279">
        <f t="shared" si="34"/>
        <v>2393.5584112149531</v>
      </c>
      <c r="L1399" s="245" t="s">
        <v>40</v>
      </c>
      <c r="M1399" s="50"/>
      <c r="N1399" s="50"/>
      <c r="O1399" s="797"/>
      <c r="P1399" s="9"/>
      <c r="Q1399" s="34"/>
      <c r="R1399" s="5"/>
      <c r="S1399" s="35"/>
    </row>
    <row r="1400" spans="1:25" ht="30" customHeight="1" x14ac:dyDescent="0.35">
      <c r="A1400" s="244" t="s">
        <v>193</v>
      </c>
      <c r="B1400" s="1369" t="s">
        <v>562</v>
      </c>
      <c r="C1400" s="1370"/>
      <c r="D1400" s="1371"/>
      <c r="E1400" s="322">
        <f>+Q917</f>
        <v>1485</v>
      </c>
      <c r="F1400" s="764" t="s">
        <v>40</v>
      </c>
      <c r="G1400" s="862">
        <v>2</v>
      </c>
      <c r="H1400" s="776" t="s">
        <v>610</v>
      </c>
      <c r="I1400" s="782">
        <f t="shared" ref="I1400:J1402" si="35">+S917</f>
        <v>1.01</v>
      </c>
      <c r="J1400" s="782">
        <f t="shared" si="35"/>
        <v>0.98130841121495327</v>
      </c>
      <c r="K1400" s="279">
        <f t="shared" si="34"/>
        <v>2943.630841121495</v>
      </c>
      <c r="L1400" s="245" t="s">
        <v>40</v>
      </c>
      <c r="M1400" s="50"/>
      <c r="N1400" s="50"/>
      <c r="O1400" s="5"/>
      <c r="P1400" s="9"/>
      <c r="Q1400" s="34"/>
      <c r="R1400" s="5"/>
      <c r="S1400" s="35"/>
      <c r="X1400" s="396"/>
      <c r="Y1400" s="396"/>
    </row>
    <row r="1401" spans="1:25" s="396" customFormat="1" ht="30" customHeight="1" x14ac:dyDescent="0.35">
      <c r="A1401" s="244" t="s">
        <v>477</v>
      </c>
      <c r="B1401" s="1558" t="s">
        <v>739</v>
      </c>
      <c r="C1401" s="1558"/>
      <c r="D1401" s="1558"/>
      <c r="E1401" s="322">
        <f>+Q918</f>
        <v>207.9</v>
      </c>
      <c r="F1401" s="764" t="s">
        <v>40</v>
      </c>
      <c r="G1401" s="862">
        <f>6*4+2*5</f>
        <v>34</v>
      </c>
      <c r="H1401" s="776" t="s">
        <v>610</v>
      </c>
      <c r="I1401" s="782">
        <f t="shared" si="35"/>
        <v>1.01</v>
      </c>
      <c r="J1401" s="782">
        <f t="shared" si="35"/>
        <v>0.98130841121495327</v>
      </c>
      <c r="K1401" s="279">
        <f t="shared" si="34"/>
        <v>7005.8414018691592</v>
      </c>
      <c r="L1401" s="245" t="s">
        <v>40</v>
      </c>
      <c r="M1401" s="50"/>
      <c r="N1401" s="50"/>
      <c r="O1401" s="5"/>
      <c r="P1401" s="9"/>
      <c r="Q1401" s="34"/>
      <c r="R1401" s="5"/>
      <c r="S1401" s="35"/>
      <c r="T1401" s="9"/>
      <c r="U1401" s="9"/>
      <c r="V1401" s="9"/>
      <c r="W1401" s="9"/>
      <c r="X1401" s="9"/>
      <c r="Y1401" s="9"/>
    </row>
    <row r="1402" spans="1:25" ht="30" customHeight="1" x14ac:dyDescent="0.35">
      <c r="A1402" s="244" t="s">
        <v>479</v>
      </c>
      <c r="B1402" s="1369" t="s">
        <v>480</v>
      </c>
      <c r="C1402" s="1370"/>
      <c r="D1402" s="1371"/>
      <c r="E1402" s="322">
        <f>+Q919</f>
        <v>25.849999999999998</v>
      </c>
      <c r="F1402" s="764" t="s">
        <v>28</v>
      </c>
      <c r="G1402" s="862">
        <v>905</v>
      </c>
      <c r="H1402" s="776" t="s">
        <v>613</v>
      </c>
      <c r="I1402" s="782">
        <f t="shared" si="35"/>
        <v>1.01</v>
      </c>
      <c r="J1402" s="782">
        <f t="shared" si="35"/>
        <v>0.98130841121495327</v>
      </c>
      <c r="K1402" s="279">
        <f t="shared" si="34"/>
        <v>23186.544042056074</v>
      </c>
      <c r="L1402" s="245" t="s">
        <v>40</v>
      </c>
      <c r="M1402" s="50"/>
      <c r="N1402" s="50"/>
      <c r="O1402" s="5"/>
      <c r="P1402" s="9"/>
      <c r="Q1402" s="34"/>
      <c r="R1402" s="5"/>
      <c r="S1402" s="35"/>
      <c r="X1402" s="396"/>
      <c r="Y1402" s="396"/>
    </row>
    <row r="1403" spans="1:25" s="396" customFormat="1" ht="30" customHeight="1" x14ac:dyDescent="0.35">
      <c r="A1403" s="244">
        <v>93410</v>
      </c>
      <c r="B1403" s="1369" t="s">
        <v>748</v>
      </c>
      <c r="C1403" s="1370"/>
      <c r="D1403" s="1371"/>
      <c r="E1403" s="281">
        <f>+Q929</f>
        <v>2.91</v>
      </c>
      <c r="F1403" s="764" t="s">
        <v>4</v>
      </c>
      <c r="G1403" s="862">
        <v>1913</v>
      </c>
      <c r="H1403" s="776" t="s">
        <v>614</v>
      </c>
      <c r="I1403" s="597">
        <f>+S929</f>
        <v>0.93863689284411045</v>
      </c>
      <c r="J1403" s="271"/>
      <c r="K1403" s="279">
        <f>+E1403*G1403*I1403</f>
        <v>5225.2320141913797</v>
      </c>
      <c r="L1403" s="245" t="s">
        <v>40</v>
      </c>
      <c r="M1403" s="50"/>
      <c r="N1403" s="50"/>
      <c r="O1403" s="5"/>
      <c r="P1403" s="9"/>
      <c r="Q1403" s="34"/>
      <c r="R1403" s="5"/>
      <c r="S1403" s="35"/>
      <c r="T1403" s="9"/>
      <c r="U1403" s="9"/>
      <c r="V1403" s="9"/>
      <c r="W1403" s="9"/>
      <c r="X1403" s="9"/>
      <c r="Y1403" s="9"/>
    </row>
    <row r="1404" spans="1:25" ht="30" customHeight="1" x14ac:dyDescent="0.35">
      <c r="A1404" s="244">
        <v>93410</v>
      </c>
      <c r="B1404" s="1369" t="s">
        <v>749</v>
      </c>
      <c r="C1404" s="1370"/>
      <c r="D1404" s="1371"/>
      <c r="E1404" s="322">
        <f>+Q928</f>
        <v>11.54</v>
      </c>
      <c r="F1404" s="764" t="s">
        <v>16</v>
      </c>
      <c r="G1404" s="862">
        <v>1046</v>
      </c>
      <c r="H1404" s="776" t="s">
        <v>617</v>
      </c>
      <c r="I1404" s="597">
        <f>+S928</f>
        <v>0.93863689284411045</v>
      </c>
      <c r="J1404" s="271"/>
      <c r="K1404" s="279">
        <f>+E1404*G1404*I1404</f>
        <v>11330.1357516184</v>
      </c>
      <c r="L1404" s="245" t="s">
        <v>40</v>
      </c>
      <c r="M1404" s="50"/>
      <c r="N1404" s="50"/>
      <c r="O1404" s="5"/>
      <c r="P1404" s="9"/>
      <c r="Q1404" s="34"/>
      <c r="R1404" s="5"/>
      <c r="S1404" s="35"/>
    </row>
    <row r="1405" spans="1:25" ht="30" customHeight="1" x14ac:dyDescent="0.35">
      <c r="A1405" s="244">
        <v>93210</v>
      </c>
      <c r="B1405" s="1369" t="s">
        <v>750</v>
      </c>
      <c r="C1405" s="1370"/>
      <c r="D1405" s="1371"/>
      <c r="E1405" s="322">
        <f>+Q930</f>
        <v>149.81</v>
      </c>
      <c r="F1405" s="764" t="s">
        <v>16</v>
      </c>
      <c r="G1405" s="862">
        <v>628</v>
      </c>
      <c r="H1405" s="776" t="s">
        <v>617</v>
      </c>
      <c r="I1405" s="597">
        <f>+S930</f>
        <v>0.93863689284411045</v>
      </c>
      <c r="J1405" s="271"/>
      <c r="K1405" s="279">
        <f>+E1405*G1405*I1405</f>
        <v>88307.597151861046</v>
      </c>
      <c r="L1405" s="245" t="s">
        <v>40</v>
      </c>
      <c r="M1405" s="50"/>
      <c r="N1405" s="50"/>
      <c r="O1405" s="5"/>
      <c r="P1405" s="9"/>
      <c r="Q1405" s="34"/>
      <c r="R1405" s="5"/>
      <c r="S1405" s="35"/>
    </row>
    <row r="1406" spans="1:25" ht="30" customHeight="1" x14ac:dyDescent="0.35">
      <c r="A1406" s="244" t="s">
        <v>461</v>
      </c>
      <c r="B1406" s="1369" t="s">
        <v>751</v>
      </c>
      <c r="C1406" s="1370"/>
      <c r="D1406" s="1371"/>
      <c r="E1406" s="281">
        <f>+Q908</f>
        <v>25.75</v>
      </c>
      <c r="F1406" s="764" t="s">
        <v>108</v>
      </c>
      <c r="G1406" s="862">
        <v>800</v>
      </c>
      <c r="H1406" s="776" t="s">
        <v>609</v>
      </c>
      <c r="I1406" s="782">
        <f>+S908</f>
        <v>1.03</v>
      </c>
      <c r="J1406" s="782">
        <f>+T908</f>
        <v>0.98130841121495327</v>
      </c>
      <c r="K1406" s="279">
        <f>+E1406*G1406*I1406*J1406</f>
        <v>20821.401869158879</v>
      </c>
      <c r="L1406" s="245" t="s">
        <v>40</v>
      </c>
      <c r="M1406" s="50"/>
      <c r="N1406" s="50"/>
      <c r="O1406" s="5"/>
      <c r="P1406" s="9"/>
      <c r="Q1406" s="34"/>
      <c r="R1406" s="5"/>
      <c r="S1406" s="35"/>
    </row>
    <row r="1407" spans="1:25" ht="30" customHeight="1" x14ac:dyDescent="0.35">
      <c r="A1407" s="244" t="s">
        <v>465</v>
      </c>
      <c r="B1407" s="1369" t="s">
        <v>752</v>
      </c>
      <c r="C1407" s="1370"/>
      <c r="D1407" s="1371"/>
      <c r="E1407" s="281">
        <f>+Q910</f>
        <v>11.775</v>
      </c>
      <c r="F1407" s="764" t="s">
        <v>108</v>
      </c>
      <c r="G1407" s="862">
        <f>2*144</f>
        <v>288</v>
      </c>
      <c r="H1407" s="776" t="s">
        <v>609</v>
      </c>
      <c r="I1407" s="271">
        <f>+S910</f>
        <v>1.07</v>
      </c>
      <c r="J1407" s="782">
        <f>+T910</f>
        <v>0.98130841121495327</v>
      </c>
      <c r="K1407" s="279">
        <f>+E1407*G1407*I1407*J1407</f>
        <v>3560.76</v>
      </c>
      <c r="L1407" s="245" t="s">
        <v>40</v>
      </c>
      <c r="M1407" s="50"/>
      <c r="N1407" s="50"/>
      <c r="O1407" s="5"/>
      <c r="P1407" s="9"/>
      <c r="Q1407" s="34"/>
      <c r="R1407" s="5"/>
      <c r="S1407" s="35"/>
    </row>
    <row r="1408" spans="1:25" ht="30" customHeight="1" x14ac:dyDescent="0.35">
      <c r="A1408" s="244"/>
      <c r="B1408" s="1668" t="s">
        <v>753</v>
      </c>
      <c r="C1408" s="1669"/>
      <c r="D1408" s="1670"/>
      <c r="E1408" s="279"/>
      <c r="F1408" s="271"/>
      <c r="G1408" s="278"/>
      <c r="H1408" s="792"/>
      <c r="I1408" s="271"/>
      <c r="J1408" s="271" t="s">
        <v>251</v>
      </c>
      <c r="K1408" s="279">
        <f>SUM(K1395:K1407)</f>
        <v>190301.85106253062</v>
      </c>
      <c r="L1408" s="245" t="s">
        <v>40</v>
      </c>
      <c r="M1408" s="50"/>
      <c r="N1408" s="50"/>
      <c r="O1408" s="5"/>
      <c r="P1408" s="9"/>
      <c r="Q1408" s="34"/>
      <c r="R1408" s="5"/>
      <c r="S1408" s="35"/>
    </row>
    <row r="1409" spans="1:25" ht="30" customHeight="1" thickBot="1" x14ac:dyDescent="0.4">
      <c r="A1409" s="1511" t="s">
        <v>3028</v>
      </c>
      <c r="B1409" s="1521"/>
      <c r="C1409" s="1521"/>
      <c r="D1409" s="1237"/>
      <c r="E1409" s="864"/>
      <c r="F1409" s="510"/>
      <c r="G1409" s="1366" t="s">
        <v>257</v>
      </c>
      <c r="H1409" s="1367"/>
      <c r="I1409" s="1368"/>
      <c r="J1409" s="570">
        <f>VLOOKUP(B1392,'Mil Cost Premiums for PUCs'!$A$4:$R$285,18,FALSE)</f>
        <v>1.0485669999999998</v>
      </c>
      <c r="K1409" s="285">
        <f>+K1408*J1409</f>
        <v>199544.24106308451</v>
      </c>
      <c r="L1409" s="865" t="s">
        <v>40</v>
      </c>
      <c r="M1409" s="50"/>
      <c r="N1409" s="50"/>
      <c r="O1409" s="5"/>
      <c r="P1409" s="9"/>
      <c r="Q1409" s="34"/>
      <c r="R1409" s="5"/>
      <c r="U1409" s="35"/>
      <c r="X1409" s="14"/>
      <c r="Y1409" s="14"/>
    </row>
    <row r="1410" spans="1:25" s="14" customFormat="1" ht="30" customHeight="1" thickBot="1" x14ac:dyDescent="0.4">
      <c r="A1410" s="1522"/>
      <c r="B1410" s="1523"/>
      <c r="C1410" s="1523"/>
      <c r="D1410" s="1524"/>
      <c r="E1410" s="1666"/>
      <c r="F1410" s="1666"/>
      <c r="G1410" s="1666"/>
      <c r="H1410" s="1666"/>
      <c r="I1410" s="1666"/>
      <c r="J1410" s="1666"/>
      <c r="K1410" s="1666"/>
      <c r="L1410" s="1667"/>
      <c r="M1410" s="50"/>
      <c r="N1410" s="50"/>
      <c r="O1410" s="5"/>
      <c r="P1410" s="9"/>
      <c r="Q1410" s="34"/>
      <c r="R1410" s="5"/>
      <c r="S1410" s="9"/>
      <c r="T1410" s="9"/>
      <c r="U1410" s="35"/>
      <c r="V1410" s="9"/>
      <c r="W1410" s="9"/>
      <c r="X1410" s="9"/>
      <c r="Y1410" s="9"/>
    </row>
    <row r="1411" spans="1:25" ht="30" customHeight="1" thickBot="1" x14ac:dyDescent="0.4">
      <c r="A1411" s="1639"/>
      <c r="B1411" s="1640"/>
      <c r="C1411" s="1640"/>
      <c r="D1411" s="1640"/>
      <c r="E1411" s="1640"/>
      <c r="F1411" s="1640"/>
      <c r="G1411" s="1640"/>
      <c r="H1411" s="1640"/>
      <c r="I1411" s="1640"/>
      <c r="J1411" s="1640"/>
      <c r="K1411" s="1640"/>
      <c r="L1411" s="1641"/>
      <c r="M1411" s="50"/>
      <c r="N1411" s="50"/>
      <c r="O1411" s="5"/>
      <c r="P1411" s="9"/>
      <c r="Q1411" s="34"/>
      <c r="R1411" s="5"/>
      <c r="U1411" s="35"/>
    </row>
    <row r="1412" spans="1:25" ht="30" customHeight="1" x14ac:dyDescent="0.35">
      <c r="A1412" s="388" t="s">
        <v>1</v>
      </c>
      <c r="B1412" s="389">
        <v>1791</v>
      </c>
      <c r="C1412" s="1205" t="s">
        <v>754</v>
      </c>
      <c r="D1412" s="1206"/>
      <c r="E1412" s="392" t="s">
        <v>3</v>
      </c>
      <c r="F1412" s="393" t="s">
        <v>40</v>
      </c>
      <c r="G1412" s="841" t="s">
        <v>755</v>
      </c>
      <c r="H1412" s="728">
        <v>1</v>
      </c>
      <c r="I1412" s="392" t="s">
        <v>5</v>
      </c>
      <c r="J1412" s="1556" t="s">
        <v>3010</v>
      </c>
      <c r="K1412" s="1556"/>
      <c r="L1412" s="1557"/>
      <c r="M1412" s="50"/>
      <c r="N1412" s="121"/>
      <c r="O1412" s="5"/>
      <c r="P1412" s="9"/>
      <c r="Q1412" s="34"/>
      <c r="R1412" s="5"/>
      <c r="U1412" s="35"/>
    </row>
    <row r="1413" spans="1:25" ht="30" customHeight="1" x14ac:dyDescent="0.35">
      <c r="A1413" s="185" t="s">
        <v>506</v>
      </c>
      <c r="B1413" s="1280" t="s">
        <v>211</v>
      </c>
      <c r="C1413" s="1281"/>
      <c r="D1413" s="1282"/>
      <c r="E1413" s="566" t="s">
        <v>52</v>
      </c>
      <c r="F1413" s="566" t="s">
        <v>53</v>
      </c>
      <c r="G1413" s="1219" t="s">
        <v>54</v>
      </c>
      <c r="H1413" s="1220"/>
      <c r="I1413" s="185" t="s">
        <v>188</v>
      </c>
      <c r="J1413" s="632" t="s">
        <v>195</v>
      </c>
      <c r="K1413" s="1209" t="s">
        <v>180</v>
      </c>
      <c r="L1413" s="1210"/>
      <c r="M1413" s="50"/>
      <c r="N1413" s="121"/>
      <c r="O1413" s="5"/>
      <c r="P1413" s="9"/>
      <c r="Q1413" s="34"/>
      <c r="R1413" s="5"/>
      <c r="U1413" s="35"/>
    </row>
    <row r="1414" spans="1:25" ht="30" customHeight="1" x14ac:dyDescent="0.35">
      <c r="A1414" s="185"/>
      <c r="B1414" s="1202" t="s">
        <v>756</v>
      </c>
      <c r="C1414" s="1203"/>
      <c r="D1414" s="1204"/>
      <c r="E1414" s="566"/>
      <c r="F1414" s="566"/>
      <c r="G1414" s="459"/>
      <c r="H1414" s="460"/>
      <c r="I1414" s="672"/>
      <c r="J1414" s="672"/>
      <c r="K1414" s="566"/>
      <c r="L1414" s="566"/>
      <c r="M1414" s="50"/>
      <c r="N1414" s="50"/>
      <c r="O1414" s="5"/>
      <c r="P1414" s="9"/>
      <c r="Q1414" s="34"/>
      <c r="R1414" s="5"/>
      <c r="U1414" s="35"/>
    </row>
    <row r="1415" spans="1:25" ht="30" customHeight="1" x14ac:dyDescent="0.35">
      <c r="A1415" s="186" t="s">
        <v>465</v>
      </c>
      <c r="B1415" s="1212" t="s">
        <v>757</v>
      </c>
      <c r="C1415" s="1213"/>
      <c r="D1415" s="1214"/>
      <c r="E1415" s="202">
        <f>+Q910</f>
        <v>11.775</v>
      </c>
      <c r="F1415" s="186" t="s">
        <v>108</v>
      </c>
      <c r="G1415" s="788">
        <f>8*62</f>
        <v>496</v>
      </c>
      <c r="H1415" s="714" t="s">
        <v>609</v>
      </c>
      <c r="I1415" s="204">
        <f>+S910</f>
        <v>1.07</v>
      </c>
      <c r="J1415" s="204">
        <f>+T910</f>
        <v>0.98130841121495327</v>
      </c>
      <c r="K1415" s="194">
        <f t="shared" ref="K1415:K1422" si="36">+E1415*G1415*I1415*J1415</f>
        <v>6132.420000000001</v>
      </c>
      <c r="L1415" s="186" t="s">
        <v>40</v>
      </c>
      <c r="M1415" s="50"/>
      <c r="N1415" s="50"/>
      <c r="O1415" s="5"/>
      <c r="P1415" s="9"/>
      <c r="Q1415" s="34"/>
      <c r="R1415" s="5"/>
      <c r="U1415" s="35"/>
    </row>
    <row r="1416" spans="1:25" ht="30" customHeight="1" x14ac:dyDescent="0.35">
      <c r="A1416" s="186" t="s">
        <v>193</v>
      </c>
      <c r="B1416" s="1212" t="s">
        <v>470</v>
      </c>
      <c r="C1416" s="1213"/>
      <c r="D1416" s="1214"/>
      <c r="E1416" s="202">
        <f>+Q914</f>
        <v>665</v>
      </c>
      <c r="F1416" s="127" t="s">
        <v>40</v>
      </c>
      <c r="G1416" s="788">
        <v>8</v>
      </c>
      <c r="H1416" s="714" t="s">
        <v>610</v>
      </c>
      <c r="I1416" s="204">
        <f>+S914</f>
        <v>1.01</v>
      </c>
      <c r="J1416" s="204">
        <f>+T914</f>
        <v>0.98130841121495327</v>
      </c>
      <c r="K1416" s="194">
        <f t="shared" si="36"/>
        <v>5272.7663551401865</v>
      </c>
      <c r="L1416" s="186" t="s">
        <v>40</v>
      </c>
      <c r="M1416" s="50"/>
      <c r="N1416" s="50"/>
      <c r="P1416" s="9"/>
      <c r="Q1416" s="34"/>
      <c r="R1416" s="5"/>
      <c r="U1416" s="35"/>
    </row>
    <row r="1417" spans="1:25" ht="30" customHeight="1" x14ac:dyDescent="0.35">
      <c r="A1417" s="186" t="s">
        <v>193</v>
      </c>
      <c r="B1417" s="1212" t="s">
        <v>475</v>
      </c>
      <c r="C1417" s="1213"/>
      <c r="D1417" s="1214"/>
      <c r="E1417" s="202">
        <f>+Q916</f>
        <v>478.5</v>
      </c>
      <c r="F1417" s="127" t="s">
        <v>40</v>
      </c>
      <c r="G1417" s="788">
        <v>8</v>
      </c>
      <c r="H1417" s="714" t="s">
        <v>610</v>
      </c>
      <c r="I1417" s="204">
        <f>+S916</f>
        <v>1.01</v>
      </c>
      <c r="J1417" s="204">
        <f>+T916</f>
        <v>0.98130841121495327</v>
      </c>
      <c r="K1417" s="194">
        <f t="shared" si="36"/>
        <v>3794.0130841121495</v>
      </c>
      <c r="L1417" s="186" t="s">
        <v>40</v>
      </c>
      <c r="M1417" s="50"/>
      <c r="N1417" s="50"/>
      <c r="O1417" s="5"/>
      <c r="P1417" s="9"/>
      <c r="Q1417" s="34"/>
      <c r="R1417" s="5"/>
      <c r="U1417" s="35"/>
    </row>
    <row r="1418" spans="1:25" ht="30" customHeight="1" x14ac:dyDescent="0.35">
      <c r="A1418" s="186" t="s">
        <v>465</v>
      </c>
      <c r="B1418" s="1212" t="s">
        <v>758</v>
      </c>
      <c r="C1418" s="1213"/>
      <c r="D1418" s="1214"/>
      <c r="E1418" s="202">
        <f>+Q911</f>
        <v>14.375</v>
      </c>
      <c r="F1418" s="186" t="s">
        <v>108</v>
      </c>
      <c r="G1418" s="788">
        <f>8*468</f>
        <v>3744</v>
      </c>
      <c r="H1418" s="714" t="s">
        <v>609</v>
      </c>
      <c r="I1418" s="204">
        <f>+S911</f>
        <v>1.07</v>
      </c>
      <c r="J1418" s="204">
        <f>+T911</f>
        <v>0.98130841121495327</v>
      </c>
      <c r="K1418" s="194">
        <f t="shared" si="36"/>
        <v>56511</v>
      </c>
      <c r="L1418" s="186" t="s">
        <v>40</v>
      </c>
      <c r="M1418" s="50"/>
      <c r="N1418" s="50"/>
      <c r="O1418" s="5"/>
      <c r="P1418" s="9"/>
      <c r="Q1418" s="34"/>
      <c r="R1418" s="5"/>
      <c r="U1418" s="35"/>
    </row>
    <row r="1419" spans="1:25" ht="30" customHeight="1" x14ac:dyDescent="0.35">
      <c r="A1419" s="186" t="s">
        <v>193</v>
      </c>
      <c r="B1419" s="1212" t="s">
        <v>473</v>
      </c>
      <c r="C1419" s="1213"/>
      <c r="D1419" s="1214"/>
      <c r="E1419" s="202">
        <f>+Q915</f>
        <v>1207.5</v>
      </c>
      <c r="F1419" s="127" t="s">
        <v>40</v>
      </c>
      <c r="G1419" s="788">
        <v>8</v>
      </c>
      <c r="H1419" s="714" t="s">
        <v>610</v>
      </c>
      <c r="I1419" s="204">
        <f>+S915</f>
        <v>1.01</v>
      </c>
      <c r="J1419" s="204">
        <f>+T915</f>
        <v>0.98130841121495327</v>
      </c>
      <c r="K1419" s="194">
        <f t="shared" si="36"/>
        <v>9574.2336448598126</v>
      </c>
      <c r="L1419" s="186" t="s">
        <v>40</v>
      </c>
      <c r="M1419" s="50"/>
      <c r="N1419" s="50"/>
      <c r="O1419" s="5"/>
      <c r="P1419" s="9"/>
      <c r="Q1419" s="34"/>
      <c r="R1419" s="5"/>
      <c r="U1419" s="35"/>
    </row>
    <row r="1420" spans="1:25" ht="30" customHeight="1" x14ac:dyDescent="0.35">
      <c r="A1420" s="186" t="s">
        <v>193</v>
      </c>
      <c r="B1420" s="1212" t="s">
        <v>562</v>
      </c>
      <c r="C1420" s="1213"/>
      <c r="D1420" s="1214"/>
      <c r="E1420" s="202">
        <f>+Q917</f>
        <v>1485</v>
      </c>
      <c r="F1420" s="127" t="s">
        <v>40</v>
      </c>
      <c r="G1420" s="788">
        <v>8</v>
      </c>
      <c r="H1420" s="714" t="s">
        <v>610</v>
      </c>
      <c r="I1420" s="204">
        <f t="shared" ref="I1420:J1422" si="37">+S917</f>
        <v>1.01</v>
      </c>
      <c r="J1420" s="204">
        <f t="shared" si="37"/>
        <v>0.98130841121495327</v>
      </c>
      <c r="K1420" s="194">
        <f t="shared" si="36"/>
        <v>11774.52336448598</v>
      </c>
      <c r="L1420" s="186" t="s">
        <v>40</v>
      </c>
      <c r="M1420" s="50"/>
      <c r="N1420" s="50"/>
      <c r="O1420" s="5"/>
      <c r="P1420" s="9"/>
      <c r="Q1420" s="34"/>
      <c r="R1420" s="5"/>
      <c r="U1420" s="35"/>
    </row>
    <row r="1421" spans="1:25" ht="30" customHeight="1" x14ac:dyDescent="0.35">
      <c r="A1421" s="186" t="s">
        <v>477</v>
      </c>
      <c r="B1421" s="1264" t="s">
        <v>628</v>
      </c>
      <c r="C1421" s="1264"/>
      <c r="D1421" s="1264"/>
      <c r="E1421" s="202">
        <f>+Q918</f>
        <v>207.9</v>
      </c>
      <c r="F1421" s="127" t="s">
        <v>40</v>
      </c>
      <c r="G1421" s="788">
        <v>72</v>
      </c>
      <c r="H1421" s="714" t="s">
        <v>610</v>
      </c>
      <c r="I1421" s="204">
        <f t="shared" si="37"/>
        <v>1.01</v>
      </c>
      <c r="J1421" s="204">
        <f t="shared" si="37"/>
        <v>0.98130841121495327</v>
      </c>
      <c r="K1421" s="194">
        <f t="shared" si="36"/>
        <v>14835.899439252338</v>
      </c>
      <c r="L1421" s="186" t="s">
        <v>40</v>
      </c>
      <c r="M1421" s="50"/>
      <c r="N1421" s="50"/>
      <c r="O1421" s="5"/>
      <c r="P1421" s="9"/>
      <c r="Q1421" s="34"/>
      <c r="R1421" s="5"/>
      <c r="U1421" s="35"/>
    </row>
    <row r="1422" spans="1:25" ht="30" customHeight="1" x14ac:dyDescent="0.35">
      <c r="A1422" s="186" t="s">
        <v>479</v>
      </c>
      <c r="B1422" s="1212" t="s">
        <v>480</v>
      </c>
      <c r="C1422" s="1213"/>
      <c r="D1422" s="1214"/>
      <c r="E1422" s="202">
        <f>+Q919</f>
        <v>25.849999999999998</v>
      </c>
      <c r="F1422" s="127" t="s">
        <v>28</v>
      </c>
      <c r="G1422" s="788">
        <v>4248</v>
      </c>
      <c r="H1422" s="714" t="s">
        <v>613</v>
      </c>
      <c r="I1422" s="204">
        <f t="shared" si="37"/>
        <v>1.01</v>
      </c>
      <c r="J1422" s="204">
        <f t="shared" si="37"/>
        <v>0.98130841121495327</v>
      </c>
      <c r="K1422" s="194">
        <f t="shared" si="36"/>
        <v>108835.84429906541</v>
      </c>
      <c r="L1422" s="186" t="s">
        <v>40</v>
      </c>
      <c r="M1422" s="50"/>
      <c r="N1422" s="50"/>
      <c r="O1422" s="5"/>
      <c r="P1422" s="9"/>
      <c r="Q1422" s="34"/>
      <c r="R1422" s="5"/>
      <c r="U1422" s="35"/>
    </row>
    <row r="1423" spans="1:25" ht="30" customHeight="1" x14ac:dyDescent="0.35">
      <c r="A1423" s="186">
        <v>93410</v>
      </c>
      <c r="B1423" s="1212" t="s">
        <v>759</v>
      </c>
      <c r="C1423" s="1213"/>
      <c r="D1423" s="1214"/>
      <c r="E1423" s="201">
        <f>+Q929</f>
        <v>2.91</v>
      </c>
      <c r="F1423" s="127" t="s">
        <v>4</v>
      </c>
      <c r="G1423" s="788">
        <v>1913</v>
      </c>
      <c r="H1423" s="714" t="s">
        <v>614</v>
      </c>
      <c r="I1423" s="752">
        <f>+S929</f>
        <v>0.93863689284411045</v>
      </c>
      <c r="J1423" s="186"/>
      <c r="K1423" s="194">
        <f>+E1423*G1423*I1423</f>
        <v>5225.2320141913797</v>
      </c>
      <c r="L1423" s="186" t="s">
        <v>40</v>
      </c>
      <c r="M1423" s="50"/>
      <c r="N1423" s="50"/>
      <c r="O1423" s="5"/>
      <c r="P1423" s="9"/>
      <c r="Q1423" s="34"/>
      <c r="R1423" s="5"/>
      <c r="U1423" s="35"/>
    </row>
    <row r="1424" spans="1:25" ht="34.5" customHeight="1" x14ac:dyDescent="0.35">
      <c r="A1424" s="186">
        <v>85110</v>
      </c>
      <c r="B1424" s="1212" t="s">
        <v>760</v>
      </c>
      <c r="C1424" s="1213"/>
      <c r="D1424" s="1214"/>
      <c r="E1424" s="201">
        <f>+Q927</f>
        <v>158.93</v>
      </c>
      <c r="F1424" s="127" t="s">
        <v>4</v>
      </c>
      <c r="G1424" s="788">
        <f>40*40/9</f>
        <v>177.77777777777777</v>
      </c>
      <c r="H1424" s="714" t="s">
        <v>614</v>
      </c>
      <c r="I1424" s="752">
        <f>+S927</f>
        <v>0.93863689284411045</v>
      </c>
      <c r="K1424" s="194">
        <f>+E1424*G1424*I1424</f>
        <v>26520.455356393686</v>
      </c>
      <c r="L1424" s="186" t="s">
        <v>40</v>
      </c>
      <c r="M1424" s="50"/>
      <c r="N1424" s="50"/>
      <c r="O1424" s="5"/>
      <c r="P1424" s="9"/>
      <c r="Q1424" s="34"/>
      <c r="R1424" s="5"/>
      <c r="U1424" s="35"/>
    </row>
    <row r="1425" spans="1:25" ht="30" customHeight="1" x14ac:dyDescent="0.35">
      <c r="A1425" s="1511" t="s">
        <v>3028</v>
      </c>
      <c r="B1425" s="1521"/>
      <c r="C1425" s="1521"/>
      <c r="D1425" s="1237"/>
      <c r="E1425" s="194"/>
      <c r="F1425" s="186"/>
      <c r="G1425" s="503"/>
      <c r="H1425" s="534"/>
      <c r="I1425" s="186"/>
      <c r="J1425" s="186" t="s">
        <v>251</v>
      </c>
      <c r="K1425" s="194">
        <f>SUM(K1414:K1424)</f>
        <v>248476.38755750092</v>
      </c>
      <c r="L1425" s="186" t="s">
        <v>40</v>
      </c>
      <c r="M1425" s="50"/>
      <c r="N1425" s="50"/>
      <c r="O1425" s="5"/>
      <c r="P1425" s="9"/>
      <c r="Q1425" s="34"/>
      <c r="R1425" s="5"/>
      <c r="U1425" s="35"/>
    </row>
    <row r="1426" spans="1:25" ht="30" customHeight="1" thickBot="1" x14ac:dyDescent="0.4">
      <c r="A1426" s="1522"/>
      <c r="B1426" s="1523"/>
      <c r="C1426" s="1523"/>
      <c r="D1426" s="1524"/>
      <c r="E1426" s="503"/>
      <c r="F1426" s="503"/>
      <c r="G1426" s="1366" t="s">
        <v>257</v>
      </c>
      <c r="H1426" s="1367"/>
      <c r="I1426" s="1368"/>
      <c r="J1426" s="560">
        <f>VLOOKUP(B1412,'Mil Cost Premiums for PUCs'!$A$4:$R$285,18,FALSE)</f>
        <v>1.0485669999999998</v>
      </c>
      <c r="K1426" s="193">
        <f>+K1425*J1426</f>
        <v>260544.14027200601</v>
      </c>
      <c r="L1426" s="186" t="s">
        <v>40</v>
      </c>
      <c r="M1426" s="50"/>
      <c r="N1426" s="50"/>
      <c r="O1426" s="5"/>
      <c r="P1426" s="9"/>
      <c r="Q1426" s="34"/>
      <c r="R1426" s="5"/>
      <c r="U1426" s="35"/>
    </row>
    <row r="1427" spans="1:25" ht="30" customHeight="1" thickBot="1" x14ac:dyDescent="0.4">
      <c r="A1427" s="1199"/>
      <c r="B1427" s="1200"/>
      <c r="C1427" s="1200"/>
      <c r="D1427" s="1200"/>
      <c r="E1427" s="1200"/>
      <c r="F1427" s="1200"/>
      <c r="G1427" s="1200"/>
      <c r="H1427" s="1200"/>
      <c r="I1427" s="1200"/>
      <c r="J1427" s="1200"/>
      <c r="K1427" s="1200"/>
      <c r="L1427" s="1201"/>
      <c r="M1427" s="50"/>
      <c r="N1427" s="50"/>
      <c r="O1427" s="5"/>
      <c r="P1427" s="9"/>
      <c r="Q1427" s="34"/>
      <c r="R1427" s="5"/>
      <c r="U1427" s="35"/>
    </row>
    <row r="1428" spans="1:25" ht="30" customHeight="1" x14ac:dyDescent="0.35">
      <c r="A1428" s="388" t="s">
        <v>1</v>
      </c>
      <c r="B1428" s="389">
        <v>1792</v>
      </c>
      <c r="C1428" s="1205" t="s">
        <v>761</v>
      </c>
      <c r="D1428" s="1206"/>
      <c r="E1428" s="392" t="s">
        <v>3</v>
      </c>
      <c r="F1428" s="393" t="s">
        <v>40</v>
      </c>
      <c r="G1428" s="841" t="s">
        <v>762</v>
      </c>
      <c r="H1428" s="728">
        <v>1</v>
      </c>
      <c r="I1428" s="392" t="s">
        <v>5</v>
      </c>
      <c r="J1428" s="1556" t="s">
        <v>3010</v>
      </c>
      <c r="K1428" s="1556"/>
      <c r="L1428" s="1557"/>
      <c r="M1428" s="50"/>
      <c r="N1428" s="50"/>
      <c r="O1428" s="5"/>
      <c r="P1428" s="9"/>
      <c r="Q1428" s="34"/>
      <c r="R1428" s="5"/>
      <c r="U1428" s="35"/>
    </row>
    <row r="1429" spans="1:25" ht="30" customHeight="1" x14ac:dyDescent="0.35">
      <c r="A1429" s="185" t="s">
        <v>506</v>
      </c>
      <c r="B1429" s="1280" t="s">
        <v>211</v>
      </c>
      <c r="C1429" s="1281"/>
      <c r="D1429" s="1282"/>
      <c r="E1429" s="566" t="s">
        <v>52</v>
      </c>
      <c r="F1429" s="566" t="s">
        <v>53</v>
      </c>
      <c r="G1429" s="1219" t="s">
        <v>54</v>
      </c>
      <c r="H1429" s="1220"/>
      <c r="I1429" s="185" t="s">
        <v>188</v>
      </c>
      <c r="J1429" s="632" t="s">
        <v>195</v>
      </c>
      <c r="K1429" s="1209" t="s">
        <v>180</v>
      </c>
      <c r="L1429" s="1210"/>
      <c r="M1429" s="50"/>
      <c r="N1429" s="50"/>
      <c r="O1429" s="5"/>
      <c r="P1429" s="9"/>
      <c r="Q1429" s="34"/>
      <c r="R1429" s="5"/>
      <c r="U1429" s="35"/>
    </row>
    <row r="1430" spans="1:25" ht="30" customHeight="1" x14ac:dyDescent="0.35">
      <c r="A1430" s="185"/>
      <c r="B1430" s="1202" t="s">
        <v>763</v>
      </c>
      <c r="C1430" s="1203"/>
      <c r="D1430" s="1204"/>
      <c r="E1430" s="566"/>
      <c r="F1430" s="566"/>
      <c r="G1430" s="459"/>
      <c r="H1430" s="460"/>
      <c r="I1430" s="672"/>
      <c r="J1430" s="672"/>
      <c r="K1430" s="566"/>
      <c r="L1430" s="566"/>
      <c r="M1430" s="50"/>
      <c r="N1430" s="50"/>
      <c r="V1430" s="396"/>
      <c r="W1430" s="396"/>
    </row>
    <row r="1431" spans="1:25" ht="30" customHeight="1" x14ac:dyDescent="0.35">
      <c r="A1431" s="186" t="s">
        <v>465</v>
      </c>
      <c r="B1431" s="1212" t="s">
        <v>764</v>
      </c>
      <c r="C1431" s="1213"/>
      <c r="D1431" s="1214"/>
      <c r="E1431" s="202">
        <f>+Q910</f>
        <v>11.775</v>
      </c>
      <c r="F1431" s="186" t="s">
        <v>108</v>
      </c>
      <c r="G1431" s="788">
        <f>246*62</f>
        <v>15252</v>
      </c>
      <c r="H1431" s="714" t="s">
        <v>609</v>
      </c>
      <c r="I1431" s="204">
        <f>+S910</f>
        <v>1.07</v>
      </c>
      <c r="J1431" s="204">
        <f>+T910</f>
        <v>0.98130841121495327</v>
      </c>
      <c r="K1431" s="194">
        <f t="shared" ref="K1431:K1442" si="38">+E1431*G1431*I1431*J1431</f>
        <v>188571.91500000004</v>
      </c>
      <c r="L1431" s="186" t="s">
        <v>40</v>
      </c>
      <c r="M1431" s="50"/>
      <c r="N1431" s="50"/>
    </row>
    <row r="1432" spans="1:25" ht="30" customHeight="1" x14ac:dyDescent="0.35">
      <c r="A1432" s="186" t="s">
        <v>193</v>
      </c>
      <c r="B1432" s="1212" t="s">
        <v>765</v>
      </c>
      <c r="C1432" s="1213"/>
      <c r="D1432" s="1214"/>
      <c r="E1432" s="202">
        <f>+Q914</f>
        <v>665</v>
      </c>
      <c r="F1432" s="127" t="s">
        <v>40</v>
      </c>
      <c r="G1432" s="788">
        <v>246</v>
      </c>
      <c r="H1432" s="714" t="s">
        <v>610</v>
      </c>
      <c r="I1432" s="204">
        <f>+S914</f>
        <v>1.01</v>
      </c>
      <c r="J1432" s="204">
        <f>+T914</f>
        <v>0.98130841121495327</v>
      </c>
      <c r="K1432" s="194">
        <f t="shared" si="38"/>
        <v>162137.56542056074</v>
      </c>
      <c r="L1432" s="186" t="s">
        <v>40</v>
      </c>
      <c r="M1432" s="50"/>
      <c r="N1432" s="50"/>
      <c r="V1432" s="396"/>
      <c r="W1432" s="396"/>
    </row>
    <row r="1433" spans="1:25" ht="30" customHeight="1" x14ac:dyDescent="0.35">
      <c r="A1433" s="186" t="s">
        <v>193</v>
      </c>
      <c r="B1433" s="1212" t="s">
        <v>766</v>
      </c>
      <c r="C1433" s="1213"/>
      <c r="D1433" s="1214"/>
      <c r="E1433" s="202">
        <f>+Q916</f>
        <v>478.5</v>
      </c>
      <c r="F1433" s="127" t="s">
        <v>40</v>
      </c>
      <c r="G1433" s="788">
        <v>246</v>
      </c>
      <c r="H1433" s="714" t="s">
        <v>610</v>
      </c>
      <c r="I1433" s="204">
        <f>+S916</f>
        <v>1.01</v>
      </c>
      <c r="J1433" s="204">
        <f>+T916</f>
        <v>0.98130841121495327</v>
      </c>
      <c r="K1433" s="194">
        <f t="shared" si="38"/>
        <v>116665.90233644861</v>
      </c>
      <c r="L1433" s="186" t="s">
        <v>40</v>
      </c>
      <c r="M1433" s="50"/>
      <c r="N1433" s="50"/>
      <c r="T1433" s="10"/>
      <c r="U1433" s="10"/>
    </row>
    <row r="1434" spans="1:25" ht="30" customHeight="1" x14ac:dyDescent="0.35">
      <c r="A1434" s="186" t="s">
        <v>465</v>
      </c>
      <c r="B1434" s="1264" t="s">
        <v>767</v>
      </c>
      <c r="C1434" s="1264"/>
      <c r="D1434" s="1264"/>
      <c r="E1434" s="202">
        <f>+Q911</f>
        <v>14.375</v>
      </c>
      <c r="F1434" s="186" t="s">
        <v>108</v>
      </c>
      <c r="G1434" s="788">
        <f>50*468</f>
        <v>23400</v>
      </c>
      <c r="H1434" s="714" t="s">
        <v>609</v>
      </c>
      <c r="I1434" s="204">
        <f>+S911</f>
        <v>1.07</v>
      </c>
      <c r="J1434" s="204">
        <f>+T911</f>
        <v>0.98130841121495327</v>
      </c>
      <c r="K1434" s="194">
        <f t="shared" si="38"/>
        <v>353193.75</v>
      </c>
      <c r="L1434" s="186" t="s">
        <v>40</v>
      </c>
      <c r="M1434" s="50"/>
      <c r="N1434" s="50"/>
      <c r="O1434" s="5"/>
      <c r="P1434" s="9"/>
      <c r="Q1434" s="34"/>
      <c r="R1434" s="5"/>
      <c r="U1434" s="35"/>
    </row>
    <row r="1435" spans="1:25" ht="30" customHeight="1" x14ac:dyDescent="0.35">
      <c r="A1435" s="186" t="s">
        <v>345</v>
      </c>
      <c r="B1435" s="1264" t="s">
        <v>624</v>
      </c>
      <c r="C1435" s="1264"/>
      <c r="D1435" s="1264"/>
      <c r="E1435" s="202">
        <f>+Q912</f>
        <v>22.25</v>
      </c>
      <c r="F1435" s="186" t="s">
        <v>108</v>
      </c>
      <c r="G1435" s="788">
        <f>2152*8</f>
        <v>17216</v>
      </c>
      <c r="H1435" s="714" t="s">
        <v>609</v>
      </c>
      <c r="I1435" s="204">
        <f>+S912</f>
        <v>0.95</v>
      </c>
      <c r="J1435" s="204">
        <f>+T912</f>
        <v>0.98130841121495327</v>
      </c>
      <c r="K1435" s="194">
        <f t="shared" si="38"/>
        <v>357101.27102803742</v>
      </c>
      <c r="L1435" s="186" t="s">
        <v>40</v>
      </c>
      <c r="M1435" s="50"/>
      <c r="N1435" s="50"/>
      <c r="O1435" s="5"/>
      <c r="P1435" s="9"/>
      <c r="Q1435" s="34"/>
      <c r="R1435" s="5"/>
      <c r="U1435" s="35"/>
    </row>
    <row r="1436" spans="1:25" ht="30" customHeight="1" x14ac:dyDescent="0.35">
      <c r="A1436" s="186" t="s">
        <v>345</v>
      </c>
      <c r="B1436" s="1264" t="s">
        <v>643</v>
      </c>
      <c r="C1436" s="1264"/>
      <c r="D1436" s="1264"/>
      <c r="E1436" s="202">
        <f>+Q912</f>
        <v>22.25</v>
      </c>
      <c r="F1436" s="186" t="s">
        <v>108</v>
      </c>
      <c r="G1436" s="788">
        <f>80.7*35</f>
        <v>2824.5</v>
      </c>
      <c r="H1436" s="714" t="s">
        <v>609</v>
      </c>
      <c r="I1436" s="204">
        <f>+S912</f>
        <v>0.95</v>
      </c>
      <c r="J1436" s="204">
        <f>+T912</f>
        <v>0.98130841121495327</v>
      </c>
      <c r="K1436" s="194">
        <f t="shared" si="38"/>
        <v>58586.927278037379</v>
      </c>
      <c r="L1436" s="186" t="s">
        <v>40</v>
      </c>
      <c r="M1436" s="50"/>
      <c r="N1436" s="50"/>
      <c r="O1436" s="5"/>
      <c r="P1436" s="9"/>
      <c r="Q1436" s="34"/>
      <c r="R1436" s="5"/>
      <c r="U1436" s="35"/>
    </row>
    <row r="1437" spans="1:25" ht="30" customHeight="1" x14ac:dyDescent="0.35">
      <c r="A1437" s="186" t="s">
        <v>193</v>
      </c>
      <c r="B1437" s="1264" t="s">
        <v>768</v>
      </c>
      <c r="C1437" s="1264"/>
      <c r="D1437" s="1264"/>
      <c r="E1437" s="202">
        <f>+Q915</f>
        <v>1207.5</v>
      </c>
      <c r="F1437" s="127" t="s">
        <v>40</v>
      </c>
      <c r="G1437" s="788">
        <v>93</v>
      </c>
      <c r="H1437" s="714" t="s">
        <v>610</v>
      </c>
      <c r="I1437" s="204">
        <f>+S915</f>
        <v>1.01</v>
      </c>
      <c r="J1437" s="204">
        <f>+T915</f>
        <v>0.98130841121495327</v>
      </c>
      <c r="K1437" s="194">
        <f t="shared" si="38"/>
        <v>111300.46612149534</v>
      </c>
      <c r="L1437" s="186" t="s">
        <v>40</v>
      </c>
      <c r="M1437" s="50"/>
      <c r="N1437" s="50"/>
      <c r="O1437" s="5"/>
      <c r="P1437" s="9"/>
      <c r="Q1437" s="34"/>
      <c r="R1437" s="5"/>
      <c r="U1437" s="35"/>
    </row>
    <row r="1438" spans="1:25" ht="30" customHeight="1" x14ac:dyDescent="0.35">
      <c r="A1438" s="186" t="s">
        <v>333</v>
      </c>
      <c r="B1438" s="1264" t="s">
        <v>769</v>
      </c>
      <c r="C1438" s="1264"/>
      <c r="D1438" s="1264"/>
      <c r="E1438" s="202">
        <f>+Q921</f>
        <v>25.875</v>
      </c>
      <c r="F1438" s="127" t="s">
        <v>28</v>
      </c>
      <c r="G1438" s="788">
        <f>+((656*8)+(49*35))</f>
        <v>6963</v>
      </c>
      <c r="H1438" s="714" t="s">
        <v>613</v>
      </c>
      <c r="I1438" s="204">
        <f>+S921</f>
        <v>1.01</v>
      </c>
      <c r="J1438" s="204">
        <f>+T921</f>
        <v>0.98130841121495327</v>
      </c>
      <c r="K1438" s="194">
        <f t="shared" si="38"/>
        <v>178568.0058995327</v>
      </c>
      <c r="L1438" s="186" t="s">
        <v>40</v>
      </c>
      <c r="M1438" s="50"/>
      <c r="N1438" s="50"/>
      <c r="O1438" s="5"/>
      <c r="P1438" s="9"/>
      <c r="Q1438" s="34"/>
      <c r="R1438" s="5"/>
      <c r="U1438" s="35"/>
    </row>
    <row r="1439" spans="1:25" ht="30" customHeight="1" x14ac:dyDescent="0.35">
      <c r="A1439" s="186" t="s">
        <v>333</v>
      </c>
      <c r="B1439" s="1212" t="s">
        <v>627</v>
      </c>
      <c r="C1439" s="1213"/>
      <c r="D1439" s="1214"/>
      <c r="E1439" s="202">
        <f>+Q922</f>
        <v>3960</v>
      </c>
      <c r="F1439" s="127" t="s">
        <v>40</v>
      </c>
      <c r="G1439" s="788">
        <v>43</v>
      </c>
      <c r="H1439" s="714" t="s">
        <v>610</v>
      </c>
      <c r="I1439" s="204">
        <f>+S922</f>
        <v>1.01</v>
      </c>
      <c r="J1439" s="204">
        <f>+T922</f>
        <v>0.98130841121495327</v>
      </c>
      <c r="K1439" s="194">
        <f t="shared" si="38"/>
        <v>168768.16822429906</v>
      </c>
      <c r="L1439" s="186" t="s">
        <v>40</v>
      </c>
      <c r="M1439" s="50"/>
      <c r="N1439" s="50"/>
      <c r="O1439" s="16"/>
      <c r="Q1439" s="683"/>
      <c r="R1439" s="16"/>
      <c r="S1439" s="14"/>
      <c r="T1439" s="14"/>
      <c r="U1439" s="866"/>
      <c r="V1439" s="14"/>
      <c r="W1439" s="14"/>
      <c r="X1439" s="396"/>
      <c r="Y1439" s="396"/>
    </row>
    <row r="1440" spans="1:25" s="396" customFormat="1" ht="30" customHeight="1" x14ac:dyDescent="0.35">
      <c r="A1440" s="186" t="s">
        <v>193</v>
      </c>
      <c r="B1440" s="1212" t="s">
        <v>562</v>
      </c>
      <c r="C1440" s="1213"/>
      <c r="D1440" s="1214"/>
      <c r="E1440" s="202">
        <f>+Q917</f>
        <v>1485</v>
      </c>
      <c r="F1440" s="127" t="s">
        <v>40</v>
      </c>
      <c r="G1440" s="788">
        <v>93</v>
      </c>
      <c r="H1440" s="714" t="s">
        <v>610</v>
      </c>
      <c r="I1440" s="204">
        <f t="shared" ref="I1440:J1442" si="39">+S917</f>
        <v>1.01</v>
      </c>
      <c r="J1440" s="204">
        <f t="shared" si="39"/>
        <v>0.98130841121495327</v>
      </c>
      <c r="K1440" s="194">
        <f t="shared" si="38"/>
        <v>136878.83411214952</v>
      </c>
      <c r="L1440" s="186" t="s">
        <v>40</v>
      </c>
      <c r="M1440" s="50"/>
      <c r="N1440" s="50"/>
      <c r="O1440" s="5"/>
      <c r="P1440" s="9"/>
      <c r="Q1440" s="34"/>
      <c r="R1440" s="5"/>
      <c r="S1440" s="9"/>
      <c r="T1440" s="9"/>
      <c r="U1440" s="35"/>
      <c r="V1440" s="9"/>
      <c r="W1440" s="9"/>
      <c r="X1440" s="9"/>
      <c r="Y1440" s="9"/>
    </row>
    <row r="1441" spans="1:21" ht="30" customHeight="1" x14ac:dyDescent="0.35">
      <c r="A1441" s="186" t="s">
        <v>477</v>
      </c>
      <c r="B1441" s="1264" t="s">
        <v>628</v>
      </c>
      <c r="C1441" s="1264"/>
      <c r="D1441" s="1264"/>
      <c r="E1441" s="202">
        <f>+Q918</f>
        <v>207.9</v>
      </c>
      <c r="F1441" s="127" t="s">
        <v>40</v>
      </c>
      <c r="G1441" s="788">
        <f>(5*50)+(4*(8+246+35))</f>
        <v>1406</v>
      </c>
      <c r="H1441" s="714" t="s">
        <v>610</v>
      </c>
      <c r="I1441" s="204">
        <f t="shared" si="39"/>
        <v>1.01</v>
      </c>
      <c r="J1441" s="204">
        <f t="shared" si="39"/>
        <v>0.98130841121495327</v>
      </c>
      <c r="K1441" s="194">
        <f t="shared" si="38"/>
        <v>289712.14738317759</v>
      </c>
      <c r="L1441" s="186" t="s">
        <v>40</v>
      </c>
      <c r="M1441" s="50"/>
      <c r="N1441" s="50"/>
      <c r="O1441" s="5"/>
      <c r="P1441" s="9"/>
      <c r="Q1441" s="34"/>
      <c r="R1441" s="5"/>
      <c r="U1441" s="35"/>
    </row>
    <row r="1442" spans="1:21" ht="30" customHeight="1" x14ac:dyDescent="0.35">
      <c r="A1442" s="186" t="s">
        <v>479</v>
      </c>
      <c r="B1442" s="1212" t="s">
        <v>480</v>
      </c>
      <c r="C1442" s="1213"/>
      <c r="D1442" s="1214"/>
      <c r="E1442" s="202">
        <f>+Q919</f>
        <v>25.849999999999998</v>
      </c>
      <c r="F1442" s="127" t="s">
        <v>28</v>
      </c>
      <c r="G1442" s="788">
        <v>29527</v>
      </c>
      <c r="H1442" s="714" t="s">
        <v>613</v>
      </c>
      <c r="I1442" s="204">
        <f t="shared" si="39"/>
        <v>1.01</v>
      </c>
      <c r="J1442" s="204">
        <f t="shared" si="39"/>
        <v>0.98130841121495327</v>
      </c>
      <c r="K1442" s="194">
        <f t="shared" si="38"/>
        <v>756496.22754672891</v>
      </c>
      <c r="L1442" s="186" t="s">
        <v>40</v>
      </c>
      <c r="M1442" s="50"/>
      <c r="N1442" s="50"/>
      <c r="O1442" s="5"/>
      <c r="P1442" s="867"/>
      <c r="Q1442" s="34"/>
      <c r="R1442" s="5"/>
      <c r="U1442" s="35"/>
    </row>
    <row r="1443" spans="1:21" ht="30" customHeight="1" x14ac:dyDescent="0.35">
      <c r="A1443" s="186">
        <v>93410</v>
      </c>
      <c r="B1443" s="1212" t="s">
        <v>770</v>
      </c>
      <c r="C1443" s="1213"/>
      <c r="D1443" s="1214"/>
      <c r="E1443" s="201">
        <f>+Q929</f>
        <v>2.91</v>
      </c>
      <c r="F1443" s="127" t="s">
        <v>4</v>
      </c>
      <c r="G1443" s="788">
        <v>10525</v>
      </c>
      <c r="H1443" s="714" t="s">
        <v>614</v>
      </c>
      <c r="I1443" s="752">
        <f>+S929</f>
        <v>0.93863689284411045</v>
      </c>
      <c r="J1443" s="186"/>
      <c r="K1443" s="194">
        <f>+E1443*G1443*I1443</f>
        <v>28748.336094806204</v>
      </c>
      <c r="L1443" s="186" t="s">
        <v>40</v>
      </c>
      <c r="M1443" s="50"/>
      <c r="N1443" s="50"/>
      <c r="O1443" s="5"/>
      <c r="P1443" s="724"/>
      <c r="Q1443" s="34"/>
      <c r="R1443" s="5"/>
      <c r="U1443" s="35"/>
    </row>
    <row r="1444" spans="1:21" ht="30" customHeight="1" x14ac:dyDescent="0.35">
      <c r="A1444" s="186">
        <v>93410</v>
      </c>
      <c r="B1444" s="1212" t="s">
        <v>771</v>
      </c>
      <c r="C1444" s="1213"/>
      <c r="D1444" s="1214"/>
      <c r="E1444" s="202">
        <f>+Q928</f>
        <v>11.54</v>
      </c>
      <c r="F1444" s="127" t="s">
        <v>16</v>
      </c>
      <c r="G1444" s="788">
        <v>6644</v>
      </c>
      <c r="H1444" s="714" t="s">
        <v>617</v>
      </c>
      <c r="I1444" s="752">
        <f>+S928</f>
        <v>0.93863689284411045</v>
      </c>
      <c r="J1444" s="186"/>
      <c r="K1444" s="194">
        <f>+E1444*G1444*I1444</f>
        <v>71966.942575289344</v>
      </c>
      <c r="L1444" s="186" t="s">
        <v>40</v>
      </c>
      <c r="M1444" s="50"/>
      <c r="N1444" s="50"/>
      <c r="O1444" s="868"/>
      <c r="P1444" s="9"/>
      <c r="Q1444" s="34"/>
      <c r="R1444" s="5"/>
      <c r="U1444" s="35"/>
    </row>
    <row r="1445" spans="1:21" ht="30" customHeight="1" x14ac:dyDescent="0.35">
      <c r="A1445" s="186">
        <v>93210</v>
      </c>
      <c r="B1445" s="1212" t="s">
        <v>772</v>
      </c>
      <c r="C1445" s="1213"/>
      <c r="D1445" s="1214"/>
      <c r="E1445" s="202">
        <f>+Q930</f>
        <v>149.81</v>
      </c>
      <c r="F1445" s="127" t="s">
        <v>16</v>
      </c>
      <c r="G1445" s="788">
        <v>1569</v>
      </c>
      <c r="H1445" s="714" t="s">
        <v>617</v>
      </c>
      <c r="I1445" s="752">
        <f>+S930</f>
        <v>0.93863689284411045</v>
      </c>
      <c r="J1445" s="186"/>
      <c r="K1445" s="194">
        <f>+E1445*G1445*I1445</f>
        <v>220628.37568673564</v>
      </c>
      <c r="L1445" s="186" t="s">
        <v>40</v>
      </c>
      <c r="M1445" s="50"/>
      <c r="N1445" s="50"/>
      <c r="O1445" s="5"/>
      <c r="P1445" s="9"/>
      <c r="Q1445" s="34"/>
      <c r="R1445" s="5"/>
      <c r="U1445" s="35"/>
    </row>
    <row r="1446" spans="1:21" ht="30" customHeight="1" x14ac:dyDescent="0.35">
      <c r="A1446" s="186" t="s">
        <v>461</v>
      </c>
      <c r="B1446" s="1212" t="s">
        <v>773</v>
      </c>
      <c r="C1446" s="1213"/>
      <c r="D1446" s="1214"/>
      <c r="E1446" s="201">
        <f>+Q908</f>
        <v>25.75</v>
      </c>
      <c r="F1446" s="127" t="s">
        <v>108</v>
      </c>
      <c r="G1446" s="788">
        <f>20*20*13</f>
        <v>5200</v>
      </c>
      <c r="H1446" s="714" t="s">
        <v>609</v>
      </c>
      <c r="I1446" s="773">
        <f>+S908</f>
        <v>1.03</v>
      </c>
      <c r="J1446" s="204">
        <f>+T908</f>
        <v>0.98130841121495327</v>
      </c>
      <c r="K1446" s="194">
        <f>+E1446*G1446*I1446*J1446</f>
        <v>135339.11214953271</v>
      </c>
      <c r="L1446" s="186" t="s">
        <v>40</v>
      </c>
      <c r="M1446" s="50"/>
      <c r="N1446" s="50"/>
      <c r="O1446" s="5"/>
      <c r="P1446" s="9"/>
      <c r="Q1446" s="34"/>
      <c r="R1446" s="5"/>
      <c r="U1446" s="35"/>
    </row>
    <row r="1447" spans="1:21" ht="30" customHeight="1" x14ac:dyDescent="0.35">
      <c r="A1447" s="1511" t="s">
        <v>3028</v>
      </c>
      <c r="B1447" s="1521"/>
      <c r="C1447" s="1521"/>
      <c r="D1447" s="1237"/>
      <c r="E1447" s="194"/>
      <c r="F1447" s="186"/>
      <c r="G1447" s="503"/>
      <c r="H1447" s="534"/>
      <c r="I1447" s="186"/>
      <c r="J1447" s="186" t="s">
        <v>251</v>
      </c>
      <c r="K1447" s="194">
        <f>SUM(K1431:K1446)</f>
        <v>3334663.9468568317</v>
      </c>
      <c r="L1447" s="186" t="s">
        <v>40</v>
      </c>
      <c r="M1447" s="50"/>
      <c r="N1447" s="50"/>
      <c r="O1447" s="5"/>
      <c r="P1447" s="9"/>
      <c r="Q1447" s="34"/>
      <c r="R1447" s="5"/>
      <c r="U1447" s="35"/>
    </row>
    <row r="1448" spans="1:21" ht="30" customHeight="1" thickBot="1" x14ac:dyDescent="0.4">
      <c r="A1448" s="1522"/>
      <c r="B1448" s="1523"/>
      <c r="C1448" s="1523"/>
      <c r="D1448" s="1524"/>
      <c r="E1448" s="503"/>
      <c r="F1448" s="503"/>
      <c r="G1448" s="1366" t="s">
        <v>257</v>
      </c>
      <c r="H1448" s="1367"/>
      <c r="I1448" s="1368"/>
      <c r="J1448" s="560">
        <f>VLOOKUP(B1428,'Mil Cost Premiums for PUCs'!$A$4:$R$285,18,FALSE)</f>
        <v>1.0821211439999998</v>
      </c>
      <c r="K1448" s="193">
        <f>+K1447*J1448</f>
        <v>3608510.3650282691</v>
      </c>
      <c r="L1448" s="186" t="s">
        <v>40</v>
      </c>
      <c r="M1448" s="50"/>
      <c r="N1448" s="50"/>
      <c r="O1448" s="5"/>
      <c r="P1448" s="9"/>
      <c r="Q1448" s="34"/>
      <c r="R1448" s="5"/>
      <c r="U1448" s="35"/>
    </row>
    <row r="1449" spans="1:21" ht="30" customHeight="1" thickBot="1" x14ac:dyDescent="0.4">
      <c r="A1449" s="1199"/>
      <c r="B1449" s="1200"/>
      <c r="C1449" s="1200"/>
      <c r="D1449" s="1200"/>
      <c r="E1449" s="1200"/>
      <c r="F1449" s="1200"/>
      <c r="G1449" s="1200"/>
      <c r="H1449" s="1200"/>
      <c r="I1449" s="1200"/>
      <c r="J1449" s="1200"/>
      <c r="K1449" s="1200"/>
      <c r="L1449" s="1201"/>
      <c r="M1449" s="50"/>
      <c r="N1449" s="50"/>
      <c r="O1449" s="5"/>
      <c r="P1449" s="9"/>
      <c r="Q1449" s="34"/>
      <c r="R1449" s="5"/>
      <c r="U1449" s="35"/>
    </row>
    <row r="1450" spans="1:21" ht="30" customHeight="1" x14ac:dyDescent="0.35">
      <c r="A1450" s="388" t="s">
        <v>1</v>
      </c>
      <c r="B1450" s="389">
        <v>1793</v>
      </c>
      <c r="C1450" s="1290" t="s">
        <v>2831</v>
      </c>
      <c r="D1450" s="1291"/>
      <c r="E1450" s="392" t="s">
        <v>3</v>
      </c>
      <c r="F1450" s="393" t="s">
        <v>40</v>
      </c>
      <c r="G1450" s="390" t="s">
        <v>38</v>
      </c>
      <c r="H1450" s="329">
        <v>1</v>
      </c>
      <c r="I1450" s="392" t="s">
        <v>5</v>
      </c>
      <c r="J1450" s="1207" t="s">
        <v>488</v>
      </c>
      <c r="K1450" s="1207"/>
      <c r="L1450" s="1208"/>
      <c r="M1450" s="97"/>
      <c r="N1450" s="50"/>
      <c r="O1450" s="5"/>
      <c r="P1450" s="9"/>
      <c r="Q1450" s="34"/>
      <c r="R1450" s="5"/>
      <c r="U1450" s="35"/>
    </row>
    <row r="1451" spans="1:21" ht="30" customHeight="1" x14ac:dyDescent="0.35">
      <c r="A1451" s="185"/>
      <c r="B1451" s="1272" t="s">
        <v>7</v>
      </c>
      <c r="C1451" s="1272"/>
      <c r="D1451" s="1272"/>
      <c r="E1451" s="185" t="s">
        <v>52</v>
      </c>
      <c r="F1451" s="185" t="s">
        <v>53</v>
      </c>
      <c r="G1451" s="1219" t="s">
        <v>54</v>
      </c>
      <c r="H1451" s="1220"/>
      <c r="I1451" s="185" t="s">
        <v>55</v>
      </c>
      <c r="J1451" s="185" t="s">
        <v>56</v>
      </c>
      <c r="K1451" s="1209" t="s">
        <v>37</v>
      </c>
      <c r="L1451" s="1210"/>
      <c r="M1451" s="96"/>
      <c r="N1451" s="50"/>
      <c r="O1451" s="5"/>
      <c r="P1451" s="9"/>
      <c r="Q1451" s="34"/>
      <c r="R1451" s="5"/>
      <c r="U1451" s="35"/>
    </row>
    <row r="1452" spans="1:21" ht="30" customHeight="1" thickBot="1" x14ac:dyDescent="0.4">
      <c r="A1452" s="407"/>
      <c r="B1452" s="1500" t="s">
        <v>491</v>
      </c>
      <c r="C1452" s="1500"/>
      <c r="D1452" s="1500"/>
      <c r="E1452" s="469"/>
      <c r="F1452" s="188"/>
      <c r="G1452" s="1332"/>
      <c r="H1452" s="1333"/>
      <c r="I1452" s="188"/>
      <c r="J1452" s="470" t="s">
        <v>491</v>
      </c>
      <c r="K1452" s="35" t="s">
        <v>491</v>
      </c>
      <c r="L1452" s="525" t="s">
        <v>40</v>
      </c>
      <c r="M1452" s="50"/>
      <c r="N1452" s="50"/>
      <c r="T1452" s="10"/>
      <c r="U1452" s="10"/>
    </row>
    <row r="1453" spans="1:21" ht="30" customHeight="1" thickBot="1" x14ac:dyDescent="0.4">
      <c r="A1453" s="1199"/>
      <c r="B1453" s="1200"/>
      <c r="C1453" s="1200"/>
      <c r="D1453" s="1200"/>
      <c r="E1453" s="1200"/>
      <c r="F1453" s="1200"/>
      <c r="G1453" s="1200"/>
      <c r="H1453" s="1200"/>
      <c r="I1453" s="1200"/>
      <c r="J1453" s="1200"/>
      <c r="K1453" s="1200"/>
      <c r="L1453" s="1201"/>
      <c r="M1453" s="50"/>
      <c r="N1453" s="50"/>
      <c r="T1453" s="10"/>
      <c r="U1453" s="10"/>
    </row>
    <row r="1454" spans="1:21" ht="30" customHeight="1" x14ac:dyDescent="0.35">
      <c r="A1454" s="388" t="s">
        <v>1</v>
      </c>
      <c r="B1454" s="389">
        <v>1794</v>
      </c>
      <c r="C1454" s="1205" t="s">
        <v>774</v>
      </c>
      <c r="D1454" s="1206"/>
      <c r="E1454" s="392" t="s">
        <v>3</v>
      </c>
      <c r="F1454" s="393" t="s">
        <v>504</v>
      </c>
      <c r="G1454" s="841" t="s">
        <v>775</v>
      </c>
      <c r="H1454" s="728">
        <v>1</v>
      </c>
      <c r="I1454" s="392" t="s">
        <v>5</v>
      </c>
      <c r="J1454" s="1556" t="s">
        <v>3010</v>
      </c>
      <c r="K1454" s="1556"/>
      <c r="L1454" s="1557"/>
      <c r="M1454" s="50"/>
      <c r="N1454" s="50"/>
      <c r="T1454" s="10"/>
      <c r="U1454" s="10"/>
    </row>
    <row r="1455" spans="1:21" ht="30" customHeight="1" x14ac:dyDescent="0.35">
      <c r="A1455" s="185" t="s">
        <v>506</v>
      </c>
      <c r="B1455" s="1280" t="s">
        <v>211</v>
      </c>
      <c r="C1455" s="1281"/>
      <c r="D1455" s="1282"/>
      <c r="E1455" s="566" t="s">
        <v>52</v>
      </c>
      <c r="F1455" s="566" t="s">
        <v>53</v>
      </c>
      <c r="G1455" s="1219" t="s">
        <v>54</v>
      </c>
      <c r="H1455" s="1220"/>
      <c r="I1455" s="632" t="s">
        <v>188</v>
      </c>
      <c r="J1455" s="632" t="s">
        <v>195</v>
      </c>
      <c r="K1455" s="1209" t="s">
        <v>180</v>
      </c>
      <c r="L1455" s="1210"/>
      <c r="M1455" s="50"/>
      <c r="N1455" s="50"/>
      <c r="P1455" s="9"/>
    </row>
    <row r="1456" spans="1:21" ht="30" customHeight="1" x14ac:dyDescent="0.35">
      <c r="A1456" s="186" t="s">
        <v>465</v>
      </c>
      <c r="B1456" s="1212" t="s">
        <v>776</v>
      </c>
      <c r="C1456" s="1213"/>
      <c r="D1456" s="1214"/>
      <c r="E1456" s="202">
        <f>+Q911</f>
        <v>14.375</v>
      </c>
      <c r="F1456" s="186" t="s">
        <v>108</v>
      </c>
      <c r="G1456" s="788">
        <v>481</v>
      </c>
      <c r="H1456" s="714" t="s">
        <v>508</v>
      </c>
      <c r="I1456" s="186">
        <f>+S911</f>
        <v>1.07</v>
      </c>
      <c r="J1456" s="204">
        <f>+T911</f>
        <v>0.98130841121495327</v>
      </c>
      <c r="K1456" s="194">
        <f>+E1456*G1456*I1456*J1456</f>
        <v>7260.09375</v>
      </c>
      <c r="L1456" s="186" t="s">
        <v>504</v>
      </c>
      <c r="M1456" s="50"/>
      <c r="N1456" s="50"/>
      <c r="P1456" s="9"/>
    </row>
    <row r="1457" spans="1:25" ht="30" customHeight="1" x14ac:dyDescent="0.35">
      <c r="A1457" s="186">
        <v>93410</v>
      </c>
      <c r="B1457" s="1212" t="s">
        <v>777</v>
      </c>
      <c r="C1457" s="1213"/>
      <c r="D1457" s="1214"/>
      <c r="E1457" s="202">
        <f>+Q928</f>
        <v>11.54</v>
      </c>
      <c r="F1457" s="127" t="s">
        <v>16</v>
      </c>
      <c r="G1457" s="788">
        <v>706</v>
      </c>
      <c r="H1457" s="714" t="s">
        <v>514</v>
      </c>
      <c r="I1457" s="752">
        <f>+S928</f>
        <v>0.93863689284411045</v>
      </c>
      <c r="J1457" s="186"/>
      <c r="K1457" s="194">
        <f>+E1457*G1457*I1457</f>
        <v>7647.30003885525</v>
      </c>
      <c r="L1457" s="186" t="s">
        <v>504</v>
      </c>
      <c r="M1457" s="50"/>
      <c r="N1457" s="50"/>
      <c r="O1457" s="384"/>
      <c r="P1457" s="9"/>
    </row>
    <row r="1458" spans="1:25" ht="30" customHeight="1" x14ac:dyDescent="0.35">
      <c r="A1458" s="186">
        <v>93210</v>
      </c>
      <c r="B1458" s="1212" t="s">
        <v>570</v>
      </c>
      <c r="C1458" s="1213"/>
      <c r="D1458" s="1214"/>
      <c r="E1458" s="202">
        <f>+Q930</f>
        <v>149.81</v>
      </c>
      <c r="F1458" s="127" t="s">
        <v>16</v>
      </c>
      <c r="G1458" s="788">
        <v>81.75</v>
      </c>
      <c r="H1458" s="714" t="s">
        <v>514</v>
      </c>
      <c r="I1458" s="752">
        <f>+S930</f>
        <v>0.93863689284411045</v>
      </c>
      <c r="J1458" s="186"/>
      <c r="K1458" s="194">
        <f>+E1458*G1458*I1458</f>
        <v>11495.455520962803</v>
      </c>
      <c r="L1458" s="186" t="s">
        <v>504</v>
      </c>
      <c r="M1458" s="50"/>
      <c r="N1458" s="96"/>
      <c r="O1458" s="384"/>
      <c r="P1458" s="9"/>
    </row>
    <row r="1459" spans="1:25" ht="30" customHeight="1" x14ac:dyDescent="0.35">
      <c r="A1459" s="1511" t="s">
        <v>3028</v>
      </c>
      <c r="B1459" s="1521"/>
      <c r="C1459" s="1521"/>
      <c r="D1459" s="1237"/>
      <c r="E1459" s="194"/>
      <c r="F1459" s="186"/>
      <c r="G1459" s="503"/>
      <c r="H1459" s="534"/>
      <c r="I1459" s="186"/>
      <c r="J1459" s="186" t="s">
        <v>251</v>
      </c>
      <c r="K1459" s="194">
        <f>SUM(K1456:K1458)</f>
        <v>26402.849309818055</v>
      </c>
      <c r="L1459" s="186" t="s">
        <v>504</v>
      </c>
      <c r="M1459" s="50"/>
      <c r="N1459" s="50"/>
      <c r="P1459" s="9"/>
    </row>
    <row r="1460" spans="1:25" ht="30" customHeight="1" thickBot="1" x14ac:dyDescent="0.4">
      <c r="A1460" s="1522"/>
      <c r="B1460" s="1523"/>
      <c r="C1460" s="1523"/>
      <c r="D1460" s="1524"/>
      <c r="E1460" s="503"/>
      <c r="F1460" s="503"/>
      <c r="G1460" s="1366" t="s">
        <v>257</v>
      </c>
      <c r="H1460" s="1367"/>
      <c r="I1460" s="1368"/>
      <c r="J1460" s="560">
        <f>VLOOKUP(B1454,'Mil Cost Premiums for PUCs'!$A$4:$R$285,18,FALSE)</f>
        <v>1.0485669999999998</v>
      </c>
      <c r="K1460" s="193">
        <f>+K1459*J1460</f>
        <v>27685.156492247985</v>
      </c>
      <c r="L1460" s="186" t="s">
        <v>504</v>
      </c>
      <c r="M1460" s="50"/>
      <c r="N1460" s="50"/>
      <c r="P1460" s="9"/>
      <c r="X1460" s="396"/>
      <c r="Y1460" s="396"/>
    </row>
    <row r="1461" spans="1:25" s="396" customFormat="1" ht="30" customHeight="1" thickBot="1" x14ac:dyDescent="0.4">
      <c r="A1461" s="1199"/>
      <c r="B1461" s="1200"/>
      <c r="C1461" s="1200"/>
      <c r="D1461" s="1200"/>
      <c r="E1461" s="1200"/>
      <c r="F1461" s="1200"/>
      <c r="G1461" s="1200"/>
      <c r="H1461" s="1200"/>
      <c r="I1461" s="1200"/>
      <c r="J1461" s="1200"/>
      <c r="K1461" s="1200"/>
      <c r="L1461" s="1201"/>
      <c r="M1461" s="50"/>
      <c r="N1461" s="50"/>
      <c r="O1461" s="9"/>
      <c r="P1461" s="9"/>
      <c r="Q1461" s="9"/>
      <c r="R1461" s="9"/>
      <c r="S1461" s="9"/>
      <c r="T1461" s="9"/>
      <c r="U1461" s="9"/>
      <c r="V1461" s="9"/>
      <c r="W1461" s="9"/>
      <c r="X1461" s="9"/>
      <c r="Y1461" s="9"/>
    </row>
    <row r="1462" spans="1:25" ht="30" customHeight="1" x14ac:dyDescent="0.35">
      <c r="A1462" s="388" t="s">
        <v>1</v>
      </c>
      <c r="B1462" s="389">
        <v>1795</v>
      </c>
      <c r="C1462" s="1345" t="s">
        <v>778</v>
      </c>
      <c r="D1462" s="1346"/>
      <c r="E1462" s="392" t="s">
        <v>3</v>
      </c>
      <c r="F1462" s="393" t="s">
        <v>108</v>
      </c>
      <c r="G1462" s="390" t="s">
        <v>2</v>
      </c>
      <c r="H1462" s="869">
        <v>3200</v>
      </c>
      <c r="I1462" s="392" t="s">
        <v>5</v>
      </c>
      <c r="J1462" s="1556" t="s">
        <v>2850</v>
      </c>
      <c r="K1462" s="1556"/>
      <c r="L1462" s="1557"/>
      <c r="M1462" s="50"/>
      <c r="N1462" s="50"/>
      <c r="P1462" s="9"/>
    </row>
    <row r="1463" spans="1:25" ht="30" customHeight="1" x14ac:dyDescent="0.35">
      <c r="A1463" s="494" t="s">
        <v>187</v>
      </c>
      <c r="B1463" s="1280" t="s">
        <v>211</v>
      </c>
      <c r="C1463" s="1281"/>
      <c r="D1463" s="1282"/>
      <c r="E1463" s="566" t="s">
        <v>52</v>
      </c>
      <c r="F1463" s="566" t="s">
        <v>53</v>
      </c>
      <c r="G1463" s="1219" t="s">
        <v>54</v>
      </c>
      <c r="H1463" s="1220"/>
      <c r="I1463" s="632" t="s">
        <v>188</v>
      </c>
      <c r="J1463" s="632" t="s">
        <v>195</v>
      </c>
      <c r="K1463" s="1209" t="s">
        <v>180</v>
      </c>
      <c r="L1463" s="1210"/>
      <c r="M1463" s="50"/>
      <c r="N1463" s="50"/>
      <c r="P1463" s="9"/>
    </row>
    <row r="1464" spans="1:25" ht="30" customHeight="1" x14ac:dyDescent="0.35">
      <c r="A1464" s="186" t="s">
        <v>442</v>
      </c>
      <c r="B1464" s="1212" t="s">
        <v>2676</v>
      </c>
      <c r="C1464" s="1213"/>
      <c r="D1464" s="1214"/>
      <c r="E1464" s="193">
        <f>+((13.45+22.65)/2)*1.45</f>
        <v>26.172499999999996</v>
      </c>
      <c r="F1464" s="127" t="s">
        <v>349</v>
      </c>
      <c r="G1464" s="336">
        <v>261.73</v>
      </c>
      <c r="H1464" s="188" t="s">
        <v>444</v>
      </c>
      <c r="I1464" s="186">
        <v>1.1200000000000001</v>
      </c>
      <c r="J1464" s="204">
        <f>1.06/1.05</f>
        <v>1.0095238095238095</v>
      </c>
      <c r="K1464" s="194">
        <f>+G1464*I1464*J1464</f>
        <v>295.92938666666669</v>
      </c>
      <c r="L1464" s="186" t="s">
        <v>108</v>
      </c>
      <c r="M1464" s="50"/>
      <c r="N1464" s="50"/>
      <c r="O1464" s="5"/>
      <c r="P1464" s="9"/>
      <c r="Q1464" s="34"/>
      <c r="R1464" s="5"/>
      <c r="S1464" s="35"/>
    </row>
    <row r="1465" spans="1:25" ht="30" customHeight="1" x14ac:dyDescent="0.35">
      <c r="A1465" s="186" t="s">
        <v>445</v>
      </c>
      <c r="B1465" s="1212" t="s">
        <v>446</v>
      </c>
      <c r="C1465" s="1213"/>
      <c r="D1465" s="1214"/>
      <c r="E1465" s="10">
        <f>+(1.63+3.28)/2</f>
        <v>2.4550000000000001</v>
      </c>
      <c r="F1465" s="186" t="s">
        <v>113</v>
      </c>
      <c r="G1465" s="337">
        <f>+(E1465*5000)/H1462</f>
        <v>3.8359375</v>
      </c>
      <c r="H1465" s="188" t="s">
        <v>447</v>
      </c>
      <c r="I1465" s="204">
        <v>1.1100000000000001</v>
      </c>
      <c r="J1465" s="204">
        <f>1.06/1.05</f>
        <v>1.0095238095238095</v>
      </c>
      <c r="K1465" s="194">
        <f>+G1465*I1465*J1465</f>
        <v>4.2984419642857148</v>
      </c>
      <c r="L1465" s="186" t="s">
        <v>108</v>
      </c>
      <c r="M1465" s="50"/>
      <c r="N1465" s="50"/>
      <c r="O1465" s="5"/>
      <c r="P1465" s="9"/>
      <c r="Q1465" s="34"/>
      <c r="R1465" s="5"/>
      <c r="S1465" s="35"/>
      <c r="X1465" s="396"/>
      <c r="Y1465" s="396"/>
    </row>
    <row r="1466" spans="1:25" s="396" customFormat="1" ht="30" customHeight="1" x14ac:dyDescent="0.35">
      <c r="A1466" s="186">
        <v>83210</v>
      </c>
      <c r="B1466" s="1212" t="s">
        <v>779</v>
      </c>
      <c r="C1466" s="1213"/>
      <c r="D1466" s="1214"/>
      <c r="E1466" s="190">
        <v>62916.09</v>
      </c>
      <c r="F1466" s="186" t="s">
        <v>40</v>
      </c>
      <c r="G1466" s="208">
        <f>E1466/H1462</f>
        <v>19.661278124999999</v>
      </c>
      <c r="H1466" s="188" t="s">
        <v>448</v>
      </c>
      <c r="I1466" s="870">
        <f>+'FY2024 MILCON Inflation Table'!F22</f>
        <v>0.95834826759383673</v>
      </c>
      <c r="J1466" s="186"/>
      <c r="K1466" s="194">
        <f>+G1466*I1466</f>
        <v>18.842351829774348</v>
      </c>
      <c r="L1466" s="186" t="s">
        <v>108</v>
      </c>
      <c r="M1466" s="50"/>
      <c r="N1466" s="50"/>
      <c r="O1466" s="9"/>
      <c r="P1466" s="9"/>
      <c r="Q1466" s="9"/>
      <c r="R1466" s="9"/>
      <c r="S1466" s="9"/>
      <c r="T1466" s="9"/>
      <c r="U1466" s="9"/>
      <c r="V1466" s="9"/>
      <c r="W1466" s="9"/>
      <c r="X1466" s="9"/>
      <c r="Y1466" s="9"/>
    </row>
    <row r="1467" spans="1:25" ht="30" customHeight="1" x14ac:dyDescent="0.35">
      <c r="A1467" s="271">
        <v>84472</v>
      </c>
      <c r="B1467" s="1369" t="s">
        <v>2604</v>
      </c>
      <c r="C1467" s="1370"/>
      <c r="D1467" s="1371"/>
      <c r="E1467" s="312">
        <v>103213.95</v>
      </c>
      <c r="F1467" s="271" t="s">
        <v>40</v>
      </c>
      <c r="G1467" s="318">
        <f>+E1467/H1462</f>
        <v>32.254359375</v>
      </c>
      <c r="H1467" s="188" t="s">
        <v>448</v>
      </c>
      <c r="I1467" s="871">
        <f>+I1466</f>
        <v>0.95834826759383673</v>
      </c>
      <c r="J1467" s="271"/>
      <c r="K1467" s="194">
        <f>+G1467*I1467</f>
        <v>30.910909429380276</v>
      </c>
      <c r="L1467" s="186" t="s">
        <v>108</v>
      </c>
      <c r="M1467" s="50"/>
      <c r="N1467" s="50"/>
      <c r="P1467" s="9"/>
    </row>
    <row r="1468" spans="1:25" ht="30" customHeight="1" x14ac:dyDescent="0.35">
      <c r="A1468" s="271">
        <v>84210</v>
      </c>
      <c r="B1468" s="1369" t="s">
        <v>2677</v>
      </c>
      <c r="C1468" s="1370"/>
      <c r="D1468" s="1371"/>
      <c r="E1468" s="312">
        <v>25.87</v>
      </c>
      <c r="F1468" s="271" t="s">
        <v>28</v>
      </c>
      <c r="G1468" s="318">
        <f>480/H1462</f>
        <v>0.15</v>
      </c>
      <c r="H1468" s="595" t="s">
        <v>454</v>
      </c>
      <c r="I1468" s="871">
        <f>+I1466</f>
        <v>0.95834826759383673</v>
      </c>
      <c r="J1468" s="271"/>
      <c r="K1468" s="279">
        <f>+E1468*G1468*I1468</f>
        <v>3.7188704523978835</v>
      </c>
      <c r="L1468" s="186" t="s">
        <v>108</v>
      </c>
      <c r="M1468" s="50"/>
      <c r="N1468" s="50"/>
      <c r="P1468" s="9"/>
    </row>
    <row r="1469" spans="1:25" ht="30" customHeight="1" x14ac:dyDescent="0.35">
      <c r="A1469" s="271">
        <v>85110</v>
      </c>
      <c r="B1469" s="1369" t="s">
        <v>2678</v>
      </c>
      <c r="C1469" s="1370"/>
      <c r="D1469" s="1371"/>
      <c r="E1469" s="312">
        <v>15.73</v>
      </c>
      <c r="F1469" s="271" t="s">
        <v>4</v>
      </c>
      <c r="G1469" s="318">
        <f>2500/H1462</f>
        <v>0.78125</v>
      </c>
      <c r="H1469" s="595" t="s">
        <v>816</v>
      </c>
      <c r="I1469" s="871">
        <f>+I1466</f>
        <v>0.95834826759383673</v>
      </c>
      <c r="J1469" s="271"/>
      <c r="K1469" s="279">
        <f>+E1469*G1469*I1469</f>
        <v>11.777201757227385</v>
      </c>
      <c r="L1469" s="186" t="s">
        <v>108</v>
      </c>
      <c r="M1469" s="50"/>
      <c r="N1469" s="50"/>
      <c r="O1469" s="572"/>
      <c r="P1469" s="384"/>
      <c r="Q1469" s="396"/>
      <c r="R1469" s="396"/>
      <c r="S1469" s="396"/>
      <c r="T1469" s="396"/>
      <c r="U1469" s="396"/>
      <c r="V1469" s="396"/>
      <c r="W1469" s="396"/>
    </row>
    <row r="1470" spans="1:25" ht="30" customHeight="1" x14ac:dyDescent="0.35">
      <c r="A1470" s="186"/>
      <c r="B1470" s="1264"/>
      <c r="C1470" s="1264"/>
      <c r="D1470" s="1264"/>
      <c r="E1470" s="203"/>
      <c r="F1470" s="186"/>
      <c r="G1470" s="768"/>
      <c r="H1470" s="558"/>
      <c r="I1470" s="186"/>
      <c r="J1470" s="186" t="s">
        <v>251</v>
      </c>
      <c r="K1470" s="194">
        <f>SUM(K1464:K1469)</f>
        <v>365.47716209973231</v>
      </c>
      <c r="L1470" s="186" t="s">
        <v>108</v>
      </c>
      <c r="M1470" s="50"/>
      <c r="N1470" s="50"/>
      <c r="X1470" s="396"/>
      <c r="Y1470" s="396"/>
    </row>
    <row r="1471" spans="1:25" s="396" customFormat="1" ht="30" customHeight="1" thickBot="1" x14ac:dyDescent="0.4">
      <c r="A1471" s="186"/>
      <c r="B1471" s="1264"/>
      <c r="C1471" s="1264"/>
      <c r="D1471" s="1264"/>
      <c r="E1471" s="503"/>
      <c r="F1471" s="503"/>
      <c r="G1471" s="503"/>
      <c r="H1471" s="503"/>
      <c r="I1471" s="503"/>
      <c r="J1471" s="494" t="s">
        <v>37</v>
      </c>
      <c r="K1471" s="193">
        <f>+K1470</f>
        <v>365.47716209973231</v>
      </c>
      <c r="L1471" s="186" t="s">
        <v>108</v>
      </c>
      <c r="M1471" s="50"/>
      <c r="N1471" s="50"/>
      <c r="O1471" s="14"/>
      <c r="P1471" s="14"/>
      <c r="Q1471" s="9"/>
      <c r="R1471" s="9"/>
      <c r="S1471" s="9"/>
      <c r="T1471" s="9"/>
      <c r="U1471" s="9"/>
      <c r="V1471" s="9"/>
      <c r="W1471" s="9"/>
      <c r="X1471" s="9"/>
      <c r="Y1471" s="9"/>
    </row>
    <row r="1472" spans="1:25" ht="30" customHeight="1" thickBot="1" x14ac:dyDescent="0.4">
      <c r="A1472" s="1199"/>
      <c r="B1472" s="1200"/>
      <c r="C1472" s="1200"/>
      <c r="D1472" s="1200"/>
      <c r="E1472" s="1200"/>
      <c r="F1472" s="1200"/>
      <c r="G1472" s="1200"/>
      <c r="H1472" s="1200"/>
      <c r="I1472" s="1200"/>
      <c r="J1472" s="1200"/>
      <c r="K1472" s="1200"/>
      <c r="L1472" s="1201"/>
      <c r="M1472" s="50"/>
      <c r="N1472" s="50"/>
      <c r="O1472" s="5"/>
      <c r="P1472" s="9"/>
      <c r="Q1472" s="34"/>
      <c r="R1472" s="5"/>
      <c r="S1472" s="35"/>
    </row>
    <row r="1473" spans="1:25" ht="30" customHeight="1" x14ac:dyDescent="0.35">
      <c r="A1473" s="388" t="s">
        <v>1</v>
      </c>
      <c r="B1473" s="389">
        <v>1796</v>
      </c>
      <c r="C1473" s="1205" t="s">
        <v>782</v>
      </c>
      <c r="D1473" s="1206"/>
      <c r="E1473" s="392" t="s">
        <v>3</v>
      </c>
      <c r="F1473" s="393" t="s">
        <v>108</v>
      </c>
      <c r="G1473" s="390" t="s">
        <v>38</v>
      </c>
      <c r="H1473" s="869">
        <v>72868</v>
      </c>
      <c r="I1473" s="392" t="s">
        <v>5</v>
      </c>
      <c r="J1473" s="1556" t="s">
        <v>3010</v>
      </c>
      <c r="K1473" s="1556"/>
      <c r="L1473" s="1557"/>
      <c r="M1473" s="50"/>
      <c r="N1473" s="96"/>
      <c r="O1473" s="797"/>
      <c r="P1473" s="9"/>
      <c r="Q1473" s="34"/>
      <c r="R1473" s="5"/>
      <c r="S1473" s="35"/>
    </row>
    <row r="1474" spans="1:25" ht="30" customHeight="1" x14ac:dyDescent="0.35">
      <c r="A1474" s="185" t="s">
        <v>506</v>
      </c>
      <c r="B1474" s="1280" t="s">
        <v>211</v>
      </c>
      <c r="C1474" s="1281"/>
      <c r="D1474" s="1282"/>
      <c r="E1474" s="566" t="s">
        <v>52</v>
      </c>
      <c r="F1474" s="566" t="s">
        <v>53</v>
      </c>
      <c r="G1474" s="1219" t="s">
        <v>54</v>
      </c>
      <c r="H1474" s="1220"/>
      <c r="I1474" s="185" t="s">
        <v>188</v>
      </c>
      <c r="J1474" s="632" t="s">
        <v>195</v>
      </c>
      <c r="K1474" s="1209" t="s">
        <v>180</v>
      </c>
      <c r="L1474" s="1210"/>
      <c r="M1474" s="50"/>
      <c r="N1474" s="50"/>
      <c r="O1474" s="5"/>
      <c r="P1474" s="9"/>
      <c r="Q1474" s="34"/>
      <c r="R1474" s="5"/>
      <c r="S1474" s="35"/>
    </row>
    <row r="1475" spans="1:25" ht="30" customHeight="1" x14ac:dyDescent="0.35">
      <c r="A1475" s="186" t="s">
        <v>461</v>
      </c>
      <c r="B1475" s="1212" t="s">
        <v>783</v>
      </c>
      <c r="C1475" s="1213"/>
      <c r="D1475" s="1214"/>
      <c r="E1475" s="872">
        <f>+Q908</f>
        <v>25.75</v>
      </c>
      <c r="F1475" s="127" t="s">
        <v>108</v>
      </c>
      <c r="G1475" s="715"/>
      <c r="H1475" s="714"/>
      <c r="I1475" s="204">
        <f>+S908</f>
        <v>1.03</v>
      </c>
      <c r="J1475" s="204">
        <f>+T908</f>
        <v>0.98130841121495327</v>
      </c>
      <c r="K1475" s="194">
        <f>+E1475*I1475*J1475</f>
        <v>26.026752336448599</v>
      </c>
      <c r="L1475" s="186" t="s">
        <v>108</v>
      </c>
      <c r="M1475" s="50"/>
      <c r="N1475" s="50"/>
      <c r="O1475" s="5"/>
      <c r="P1475" s="9"/>
      <c r="Q1475" s="34"/>
      <c r="R1475" s="5"/>
      <c r="S1475" s="35"/>
    </row>
    <row r="1476" spans="1:25" ht="30" customHeight="1" x14ac:dyDescent="0.35">
      <c r="A1476" s="186" t="s">
        <v>345</v>
      </c>
      <c r="B1476" s="1212" t="s">
        <v>469</v>
      </c>
      <c r="C1476" s="1213"/>
      <c r="D1476" s="1214"/>
      <c r="E1476" s="201">
        <f>+Q913</f>
        <v>6.6549999999999994</v>
      </c>
      <c r="F1476" s="127" t="s">
        <v>108</v>
      </c>
      <c r="G1476" s="715"/>
      <c r="H1476" s="714"/>
      <c r="I1476" s="204">
        <f>+S913</f>
        <v>0.95</v>
      </c>
      <c r="J1476" s="204">
        <f>+T913</f>
        <v>0.98130841121495327</v>
      </c>
      <c r="K1476" s="194">
        <f>+E1476*I1476*J1476</f>
        <v>6.2040771028037378</v>
      </c>
      <c r="L1476" s="186" t="s">
        <v>108</v>
      </c>
      <c r="M1476" s="50"/>
      <c r="N1476" s="50"/>
      <c r="O1476" s="5"/>
      <c r="P1476" s="9"/>
      <c r="Q1476" s="34"/>
      <c r="R1476" s="5"/>
      <c r="S1476" s="35"/>
      <c r="X1476" s="396"/>
      <c r="Y1476" s="396"/>
    </row>
    <row r="1477" spans="1:25" s="396" customFormat="1" ht="30" customHeight="1" x14ac:dyDescent="0.35">
      <c r="A1477" s="186" t="s">
        <v>212</v>
      </c>
      <c r="B1477" s="1212" t="s">
        <v>784</v>
      </c>
      <c r="C1477" s="1213"/>
      <c r="D1477" s="1214"/>
      <c r="E1477" s="872">
        <f>+Q907</f>
        <v>60</v>
      </c>
      <c r="F1477" s="127" t="s">
        <v>108</v>
      </c>
      <c r="G1477" s="127"/>
      <c r="H1477" s="714"/>
      <c r="I1477" s="204">
        <f>+S907</f>
        <v>1.0900000000000001</v>
      </c>
      <c r="J1477" s="204">
        <f>+T907</f>
        <v>0.98130841121495327</v>
      </c>
      <c r="K1477" s="194">
        <f>+E1477*I1477*J1477</f>
        <v>64.177570093457945</v>
      </c>
      <c r="L1477" s="186" t="s">
        <v>108</v>
      </c>
      <c r="M1477" s="50"/>
      <c r="N1477" s="50"/>
      <c r="O1477" s="5"/>
      <c r="P1477" s="9"/>
      <c r="Q1477" s="34"/>
      <c r="R1477" s="5"/>
      <c r="S1477" s="35"/>
      <c r="T1477" s="9"/>
      <c r="U1477" s="9"/>
      <c r="V1477" s="9"/>
      <c r="W1477" s="9"/>
      <c r="X1477" s="9"/>
      <c r="Y1477" s="9"/>
    </row>
    <row r="1478" spans="1:25" ht="30" customHeight="1" x14ac:dyDescent="0.35">
      <c r="A1478" s="186"/>
      <c r="B1478" s="552"/>
      <c r="C1478" s="553"/>
      <c r="D1478" s="554"/>
      <c r="E1478" s="193"/>
      <c r="F1478" s="127"/>
      <c r="G1478" s="127"/>
      <c r="H1478" s="714"/>
      <c r="I1478" s="1664" t="s">
        <v>240</v>
      </c>
      <c r="J1478" s="1665"/>
      <c r="K1478" s="194">
        <f>0.09*K1475+0.06*K1476+0.85*K1477</f>
        <v>57.265586915887852</v>
      </c>
      <c r="L1478" s="186" t="s">
        <v>108</v>
      </c>
      <c r="M1478" s="50"/>
      <c r="N1478" s="50"/>
      <c r="O1478" s="5"/>
      <c r="P1478" s="9"/>
      <c r="Q1478" s="34"/>
      <c r="R1478" s="5"/>
      <c r="S1478" s="35"/>
    </row>
    <row r="1479" spans="1:25" ht="30" customHeight="1" x14ac:dyDescent="0.35">
      <c r="A1479" s="186" t="s">
        <v>193</v>
      </c>
      <c r="B1479" s="1212" t="s">
        <v>470</v>
      </c>
      <c r="C1479" s="1213"/>
      <c r="D1479" s="1214"/>
      <c r="E1479" s="202">
        <f>+Q914</f>
        <v>665</v>
      </c>
      <c r="F1479" s="127" t="s">
        <v>40</v>
      </c>
      <c r="G1479" s="127">
        <v>2.5000000000000001E-2</v>
      </c>
      <c r="H1479" s="714" t="s">
        <v>785</v>
      </c>
      <c r="I1479" s="204">
        <f>+S914</f>
        <v>1.01</v>
      </c>
      <c r="J1479" s="204">
        <f>+T914</f>
        <v>0.98130841121495327</v>
      </c>
      <c r="K1479" s="194">
        <f>+E1479*G1479*I1479*J1479</f>
        <v>16.477394859813085</v>
      </c>
      <c r="L1479" s="186" t="s">
        <v>108</v>
      </c>
      <c r="M1479" s="50"/>
      <c r="N1479" s="50"/>
      <c r="O1479" s="5"/>
      <c r="P1479" s="9"/>
      <c r="Q1479" s="34"/>
      <c r="R1479" s="5"/>
      <c r="S1479" s="35"/>
    </row>
    <row r="1480" spans="1:25" ht="30" customHeight="1" x14ac:dyDescent="0.35">
      <c r="A1480" s="186" t="s">
        <v>193</v>
      </c>
      <c r="B1480" s="1212" t="s">
        <v>475</v>
      </c>
      <c r="C1480" s="1213"/>
      <c r="D1480" s="1214"/>
      <c r="E1480" s="202">
        <f>+Q916</f>
        <v>478.5</v>
      </c>
      <c r="F1480" s="127" t="s">
        <v>40</v>
      </c>
      <c r="G1480" s="127">
        <v>2.5000000000000001E-2</v>
      </c>
      <c r="H1480" s="714" t="s">
        <v>785</v>
      </c>
      <c r="I1480" s="204">
        <f>+S916</f>
        <v>1.01</v>
      </c>
      <c r="J1480" s="204">
        <f>+T916</f>
        <v>0.98130841121495327</v>
      </c>
      <c r="K1480" s="194">
        <f>+E1480*G1480*I1480*J1480</f>
        <v>11.856290887850468</v>
      </c>
      <c r="L1480" s="186" t="s">
        <v>108</v>
      </c>
      <c r="M1480" s="50"/>
      <c r="N1480" s="50"/>
      <c r="O1480" s="5"/>
      <c r="P1480" s="9"/>
      <c r="Q1480" s="34"/>
      <c r="R1480" s="5"/>
      <c r="S1480" s="35"/>
    </row>
    <row r="1481" spans="1:25" ht="30" customHeight="1" x14ac:dyDescent="0.35">
      <c r="A1481" s="186" t="s">
        <v>479</v>
      </c>
      <c r="B1481" s="1212" t="s">
        <v>786</v>
      </c>
      <c r="C1481" s="1213"/>
      <c r="D1481" s="1214"/>
      <c r="E1481" s="202">
        <f>+Q919</f>
        <v>25.849999999999998</v>
      </c>
      <c r="F1481" s="127" t="s">
        <v>28</v>
      </c>
      <c r="G1481" s="873">
        <f>2400/19600</f>
        <v>0.12244897959183673</v>
      </c>
      <c r="H1481" s="714" t="s">
        <v>787</v>
      </c>
      <c r="I1481" s="204">
        <f>+S919</f>
        <v>1.01</v>
      </c>
      <c r="J1481" s="204">
        <f>+T919</f>
        <v>0.98130841121495327</v>
      </c>
      <c r="K1481" s="209">
        <f>+E1481*G1481*I1481*J1481</f>
        <v>3.1372029372496657</v>
      </c>
      <c r="L1481" s="186" t="s">
        <v>108</v>
      </c>
      <c r="M1481" s="50"/>
      <c r="N1481" s="50"/>
      <c r="O1481" s="5"/>
      <c r="P1481" s="9"/>
      <c r="Q1481" s="34"/>
      <c r="R1481" s="5"/>
      <c r="S1481" s="35"/>
      <c r="X1481" s="396"/>
      <c r="Y1481" s="396"/>
    </row>
    <row r="1482" spans="1:25" s="396" customFormat="1" ht="30" customHeight="1" x14ac:dyDescent="0.35">
      <c r="A1482" s="186">
        <v>85110</v>
      </c>
      <c r="B1482" s="1212" t="s">
        <v>788</v>
      </c>
      <c r="C1482" s="1213"/>
      <c r="D1482" s="1214"/>
      <c r="E1482" s="202">
        <f>+Q927</f>
        <v>158.93</v>
      </c>
      <c r="F1482" s="186" t="s">
        <v>4</v>
      </c>
      <c r="G1482" s="127">
        <v>1.01</v>
      </c>
      <c r="H1482" s="714" t="s">
        <v>789</v>
      </c>
      <c r="I1482" s="835">
        <f>+S927</f>
        <v>0.93863689284411045</v>
      </c>
      <c r="J1482" s="186"/>
      <c r="K1482" s="209">
        <f>+E1482*G1482*I1482</f>
        <v>150.66933699351162</v>
      </c>
      <c r="L1482" s="186" t="s">
        <v>108</v>
      </c>
      <c r="M1482" s="50"/>
      <c r="N1482" s="50"/>
      <c r="O1482" s="5"/>
      <c r="P1482" s="9"/>
      <c r="Q1482" s="34"/>
      <c r="R1482" s="5"/>
      <c r="S1482" s="35"/>
      <c r="T1482" s="9"/>
      <c r="U1482" s="9"/>
      <c r="V1482" s="9"/>
      <c r="W1482" s="9"/>
      <c r="X1482" s="9"/>
      <c r="Y1482" s="9"/>
    </row>
    <row r="1483" spans="1:25" ht="30" customHeight="1" x14ac:dyDescent="0.35">
      <c r="A1483" s="186">
        <v>85110</v>
      </c>
      <c r="B1483" s="1212" t="s">
        <v>790</v>
      </c>
      <c r="C1483" s="1213"/>
      <c r="D1483" s="1214"/>
      <c r="E1483" s="202">
        <f>+Q926</f>
        <v>35.07</v>
      </c>
      <c r="F1483" s="127" t="s">
        <v>4</v>
      </c>
      <c r="G1483" s="127">
        <v>0.69</v>
      </c>
      <c r="H1483" s="714" t="s">
        <v>789</v>
      </c>
      <c r="I1483" s="835">
        <f>+S926</f>
        <v>0.93863689284411045</v>
      </c>
      <c r="J1483" s="186"/>
      <c r="K1483" s="209">
        <f>+E1483*G1483*I1483</f>
        <v>22.713417124109636</v>
      </c>
      <c r="L1483" s="186" t="s">
        <v>108</v>
      </c>
      <c r="M1483" s="50"/>
      <c r="N1483" s="50"/>
      <c r="O1483" s="5"/>
      <c r="P1483" s="9"/>
      <c r="Q1483" s="34"/>
      <c r="R1483" s="5"/>
      <c r="S1483" s="35"/>
    </row>
    <row r="1484" spans="1:25" ht="30" customHeight="1" x14ac:dyDescent="0.35">
      <c r="A1484" s="186" t="s">
        <v>347</v>
      </c>
      <c r="B1484" s="1212" t="s">
        <v>791</v>
      </c>
      <c r="C1484" s="1213"/>
      <c r="D1484" s="1214"/>
      <c r="E1484" s="734">
        <f>+Q925</f>
        <v>32</v>
      </c>
      <c r="F1484" s="422" t="s">
        <v>349</v>
      </c>
      <c r="G1484" s="874">
        <v>0.9</v>
      </c>
      <c r="H1484" s="708" t="s">
        <v>444</v>
      </c>
      <c r="I1484" s="186">
        <f>+S925</f>
        <v>1.01</v>
      </c>
      <c r="J1484" s="204">
        <f>+T925</f>
        <v>0.98130841121495327</v>
      </c>
      <c r="K1484" s="734">
        <f>+E1484*G1484*I1484*J1484</f>
        <v>28.54429906542056</v>
      </c>
      <c r="L1484" s="422" t="s">
        <v>108</v>
      </c>
      <c r="M1484" s="50"/>
      <c r="N1484" s="50"/>
      <c r="O1484" s="5"/>
      <c r="P1484" s="9"/>
      <c r="Q1484" s="34"/>
      <c r="R1484" s="5"/>
      <c r="S1484" s="35"/>
    </row>
    <row r="1485" spans="1:25" ht="30" customHeight="1" x14ac:dyDescent="0.35">
      <c r="A1485" s="186" t="s">
        <v>465</v>
      </c>
      <c r="B1485" s="1212" t="s">
        <v>792</v>
      </c>
      <c r="C1485" s="1213"/>
      <c r="D1485" s="1214"/>
      <c r="E1485" s="201">
        <f>+Q910</f>
        <v>11.775</v>
      </c>
      <c r="F1485" s="127" t="s">
        <v>108</v>
      </c>
      <c r="G1485" s="127">
        <v>0.22</v>
      </c>
      <c r="H1485" s="714" t="s">
        <v>785</v>
      </c>
      <c r="I1485" s="186">
        <f>S910</f>
        <v>1.07</v>
      </c>
      <c r="J1485" s="204">
        <f>+T910</f>
        <v>0.98130841121495327</v>
      </c>
      <c r="K1485" s="209">
        <f>+E1485*G1485*I1485*J1485</f>
        <v>2.7200250000000001</v>
      </c>
      <c r="L1485" s="186" t="s">
        <v>108</v>
      </c>
      <c r="M1485" s="50"/>
      <c r="N1485" s="50"/>
      <c r="O1485" s="5"/>
      <c r="P1485" s="9"/>
      <c r="Q1485" s="34"/>
      <c r="R1485" s="5"/>
      <c r="S1485" s="35"/>
    </row>
    <row r="1486" spans="1:25" ht="30" customHeight="1" x14ac:dyDescent="0.35">
      <c r="A1486" s="186">
        <v>93210</v>
      </c>
      <c r="B1486" s="1212" t="s">
        <v>793</v>
      </c>
      <c r="C1486" s="1213"/>
      <c r="D1486" s="1214"/>
      <c r="E1486" s="202">
        <f>+Q930</f>
        <v>149.81</v>
      </c>
      <c r="F1486" s="127" t="s">
        <v>16</v>
      </c>
      <c r="G1486" s="873">
        <v>0.217</v>
      </c>
      <c r="H1486" s="714" t="s">
        <v>794</v>
      </c>
      <c r="I1486" s="835">
        <f>+S930</f>
        <v>0.93863689284411045</v>
      </c>
      <c r="J1486" s="186"/>
      <c r="K1486" s="209">
        <f>+E1486*G1486*I1486</f>
        <v>30.51393086298383</v>
      </c>
      <c r="L1486" s="186" t="s">
        <v>108</v>
      </c>
      <c r="M1486" s="50"/>
      <c r="N1486" s="50"/>
      <c r="O1486" s="5"/>
      <c r="P1486" s="9"/>
      <c r="Q1486" s="34"/>
      <c r="R1486" s="5"/>
      <c r="S1486" s="35"/>
      <c r="X1486" s="396"/>
      <c r="Y1486" s="396"/>
    </row>
    <row r="1487" spans="1:25" ht="30" customHeight="1" x14ac:dyDescent="0.35">
      <c r="A1487" s="186">
        <v>93410</v>
      </c>
      <c r="B1487" s="1212" t="s">
        <v>795</v>
      </c>
      <c r="C1487" s="1213"/>
      <c r="D1487" s="1214"/>
      <c r="E1487" s="202">
        <f>+Q928</f>
        <v>11.54</v>
      </c>
      <c r="F1487" s="127" t="s">
        <v>16</v>
      </c>
      <c r="G1487" s="873">
        <v>0.10306122448979592</v>
      </c>
      <c r="H1487" s="714" t="s">
        <v>794</v>
      </c>
      <c r="I1487" s="835">
        <f>+S928</f>
        <v>0.93863689284411045</v>
      </c>
      <c r="J1487" s="186"/>
      <c r="K1487" s="194">
        <f>+E1487*G1487*I1487</f>
        <v>1.1163457592709434</v>
      </c>
      <c r="L1487" s="186" t="s">
        <v>108</v>
      </c>
      <c r="M1487" s="50"/>
      <c r="N1487" s="50"/>
      <c r="O1487" s="5"/>
      <c r="P1487" s="9"/>
      <c r="Q1487" s="34"/>
      <c r="R1487" s="5"/>
      <c r="S1487" s="35"/>
    </row>
    <row r="1488" spans="1:25" ht="30" customHeight="1" x14ac:dyDescent="0.35">
      <c r="A1488" s="186"/>
      <c r="B1488" s="1264"/>
      <c r="C1488" s="1264"/>
      <c r="D1488" s="1264"/>
      <c r="E1488" s="194"/>
      <c r="F1488" s="186"/>
      <c r="G1488" s="503"/>
      <c r="H1488" s="534"/>
      <c r="I1488" s="186"/>
      <c r="J1488" s="186" t="s">
        <v>251</v>
      </c>
      <c r="K1488" s="209">
        <f>SUM(K1478:K1487)</f>
        <v>325.01383040609767</v>
      </c>
      <c r="L1488" s="186" t="s">
        <v>108</v>
      </c>
      <c r="M1488" s="50"/>
      <c r="N1488" s="50"/>
      <c r="T1488" s="10"/>
      <c r="U1488" s="10"/>
    </row>
    <row r="1489" spans="1:23" ht="30" customHeight="1" x14ac:dyDescent="0.35">
      <c r="A1489" s="1511" t="s">
        <v>3028</v>
      </c>
      <c r="B1489" s="1521"/>
      <c r="C1489" s="1521"/>
      <c r="D1489" s="1237"/>
      <c r="E1489" s="503"/>
      <c r="F1489" s="503"/>
      <c r="G1489" s="503"/>
      <c r="H1489" s="503"/>
      <c r="I1489" s="503"/>
      <c r="J1489" s="186" t="s">
        <v>37</v>
      </c>
      <c r="K1489" s="193">
        <f>+K1488</f>
        <v>325.01383040609767</v>
      </c>
      <c r="L1489" s="186" t="s">
        <v>108</v>
      </c>
      <c r="M1489" s="50"/>
      <c r="N1489" s="50"/>
      <c r="T1489" s="10"/>
      <c r="U1489" s="10"/>
    </row>
    <row r="1490" spans="1:23" ht="30" customHeight="1" thickBot="1" x14ac:dyDescent="0.4">
      <c r="A1490" s="1522"/>
      <c r="B1490" s="1523"/>
      <c r="C1490" s="1523"/>
      <c r="D1490" s="1524"/>
      <c r="E1490" s="503"/>
      <c r="F1490" s="503"/>
      <c r="G1490" s="1366" t="s">
        <v>257</v>
      </c>
      <c r="H1490" s="1367"/>
      <c r="I1490" s="1368"/>
      <c r="J1490" s="560">
        <f>VLOOKUP(B1473,'Mil Cost Premiums for PUCs'!$A$4:$R$285,18,FALSE)</f>
        <v>1.0821211439999998</v>
      </c>
      <c r="K1490" s="193">
        <f>+K1489*J1490</f>
        <v>351.70433797486834</v>
      </c>
      <c r="L1490" s="186" t="s">
        <v>108</v>
      </c>
      <c r="M1490" s="50"/>
      <c r="N1490" s="50"/>
      <c r="O1490" s="572"/>
      <c r="P1490" s="384"/>
      <c r="Q1490" s="396"/>
      <c r="R1490" s="396"/>
      <c r="S1490" s="396"/>
      <c r="T1490" s="396"/>
      <c r="U1490" s="396"/>
      <c r="V1490" s="396"/>
      <c r="W1490" s="396"/>
    </row>
    <row r="1491" spans="1:23" ht="30" customHeight="1" thickBot="1" x14ac:dyDescent="0.4">
      <c r="A1491" s="1199"/>
      <c r="B1491" s="1200"/>
      <c r="C1491" s="1200"/>
      <c r="D1491" s="1200"/>
      <c r="E1491" s="1200"/>
      <c r="F1491" s="1200"/>
      <c r="G1491" s="1200"/>
      <c r="H1491" s="1200"/>
      <c r="I1491" s="1200"/>
      <c r="J1491" s="1200"/>
      <c r="K1491" s="1200"/>
      <c r="L1491" s="1201"/>
      <c r="M1491" s="50"/>
      <c r="N1491" s="50"/>
    </row>
    <row r="1492" spans="1:23" ht="30" customHeight="1" x14ac:dyDescent="0.35">
      <c r="A1492" s="388" t="s">
        <v>1</v>
      </c>
      <c r="B1492" s="389">
        <v>1797</v>
      </c>
      <c r="C1492" s="1205" t="s">
        <v>796</v>
      </c>
      <c r="D1492" s="1206"/>
      <c r="E1492" s="392" t="s">
        <v>3</v>
      </c>
      <c r="F1492" s="393" t="s">
        <v>504</v>
      </c>
      <c r="G1492" s="394" t="s">
        <v>797</v>
      </c>
      <c r="H1492" s="728">
        <v>1</v>
      </c>
      <c r="I1492" s="392" t="s">
        <v>5</v>
      </c>
      <c r="J1492" s="1556" t="s">
        <v>3010</v>
      </c>
      <c r="K1492" s="1556"/>
      <c r="L1492" s="1557"/>
      <c r="M1492" s="50"/>
      <c r="N1492" s="50"/>
      <c r="O1492" s="14"/>
    </row>
    <row r="1493" spans="1:23" ht="30" customHeight="1" x14ac:dyDescent="0.35">
      <c r="A1493" s="185" t="s">
        <v>506</v>
      </c>
      <c r="B1493" s="1280" t="s">
        <v>211</v>
      </c>
      <c r="C1493" s="1281"/>
      <c r="D1493" s="1282"/>
      <c r="E1493" s="566" t="s">
        <v>52</v>
      </c>
      <c r="F1493" s="566" t="s">
        <v>53</v>
      </c>
      <c r="G1493" s="1219" t="s">
        <v>54</v>
      </c>
      <c r="H1493" s="1220"/>
      <c r="I1493" s="185" t="s">
        <v>188</v>
      </c>
      <c r="J1493" s="632" t="s">
        <v>195</v>
      </c>
      <c r="K1493" s="1209" t="s">
        <v>180</v>
      </c>
      <c r="L1493" s="1210"/>
      <c r="M1493" s="50"/>
      <c r="N1493" s="50"/>
      <c r="O1493" s="572"/>
      <c r="P1493" s="384"/>
      <c r="Q1493" s="396"/>
      <c r="R1493" s="396"/>
      <c r="S1493" s="396"/>
      <c r="T1493" s="396"/>
      <c r="U1493" s="396"/>
    </row>
    <row r="1494" spans="1:23" ht="30" customHeight="1" x14ac:dyDescent="0.35">
      <c r="A1494" s="186" t="s">
        <v>465</v>
      </c>
      <c r="B1494" s="1212" t="s">
        <v>798</v>
      </c>
      <c r="C1494" s="1213"/>
      <c r="D1494" s="1214"/>
      <c r="E1494" s="201">
        <f>+Q910</f>
        <v>11.775</v>
      </c>
      <c r="F1494" s="127" t="s">
        <v>108</v>
      </c>
      <c r="G1494" s="788">
        <v>104</v>
      </c>
      <c r="H1494" s="714" t="s">
        <v>508</v>
      </c>
      <c r="I1494" s="186">
        <f>+S910</f>
        <v>1.07</v>
      </c>
      <c r="J1494" s="204">
        <f>+T910</f>
        <v>0.98130841121495327</v>
      </c>
      <c r="K1494" s="194">
        <f>+E1494*G1494*I1494*J1494</f>
        <v>1285.8300000000002</v>
      </c>
      <c r="L1494" s="186" t="s">
        <v>504</v>
      </c>
      <c r="M1494" s="50"/>
      <c r="N1494" s="50"/>
    </row>
    <row r="1495" spans="1:23" ht="30" customHeight="1" x14ac:dyDescent="0.35">
      <c r="A1495" s="186" t="s">
        <v>465</v>
      </c>
      <c r="B1495" s="1212" t="s">
        <v>799</v>
      </c>
      <c r="C1495" s="1213"/>
      <c r="D1495" s="1214"/>
      <c r="E1495" s="201">
        <f>+Q910</f>
        <v>11.775</v>
      </c>
      <c r="F1495" s="127" t="s">
        <v>108</v>
      </c>
      <c r="G1495" s="788">
        <f>2*144</f>
        <v>288</v>
      </c>
      <c r="H1495" s="714" t="s">
        <v>508</v>
      </c>
      <c r="I1495" s="186">
        <f>+S910</f>
        <v>1.07</v>
      </c>
      <c r="J1495" s="204">
        <f>+T910</f>
        <v>0.98130841121495327</v>
      </c>
      <c r="K1495" s="194">
        <f>+E1495*G1495*I1495*J1495</f>
        <v>3560.76</v>
      </c>
      <c r="L1495" s="186" t="s">
        <v>504</v>
      </c>
      <c r="M1495" s="50"/>
      <c r="N1495" s="50"/>
      <c r="V1495" s="396"/>
      <c r="W1495" s="396"/>
    </row>
    <row r="1496" spans="1:23" ht="30" customHeight="1" x14ac:dyDescent="0.35">
      <c r="A1496" s="186">
        <v>93410</v>
      </c>
      <c r="B1496" s="1212" t="s">
        <v>800</v>
      </c>
      <c r="C1496" s="1213"/>
      <c r="D1496" s="1214"/>
      <c r="E1496" s="202">
        <f>+Q928</f>
        <v>11.54</v>
      </c>
      <c r="F1496" s="127" t="s">
        <v>16</v>
      </c>
      <c r="G1496" s="839">
        <f>2.6*4</f>
        <v>10.4</v>
      </c>
      <c r="H1496" s="714" t="s">
        <v>514</v>
      </c>
      <c r="I1496" s="835">
        <f>+S928</f>
        <v>0.93863689284411045</v>
      </c>
      <c r="J1496" s="186"/>
      <c r="K1496" s="194">
        <f>+E1496*G1496*I1496</f>
        <v>112.65144533157876</v>
      </c>
      <c r="L1496" s="186" t="s">
        <v>504</v>
      </c>
      <c r="M1496" s="50"/>
      <c r="N1496" s="50"/>
      <c r="T1496" s="53"/>
      <c r="U1496" s="53"/>
    </row>
    <row r="1497" spans="1:23" ht="30" customHeight="1" x14ac:dyDescent="0.35">
      <c r="A1497" s="186">
        <v>93410</v>
      </c>
      <c r="B1497" s="1212" t="s">
        <v>801</v>
      </c>
      <c r="C1497" s="1213"/>
      <c r="D1497" s="1214"/>
      <c r="E1497" s="202">
        <f>+Q928</f>
        <v>11.54</v>
      </c>
      <c r="F1497" s="127" t="s">
        <v>16</v>
      </c>
      <c r="G1497" s="788">
        <v>26</v>
      </c>
      <c r="H1497" s="714" t="s">
        <v>514</v>
      </c>
      <c r="I1497" s="835">
        <f>+S928</f>
        <v>0.93863689284411045</v>
      </c>
      <c r="J1497" s="186"/>
      <c r="K1497" s="194">
        <f>+E1497*G1497*I1497</f>
        <v>281.62861332894687</v>
      </c>
      <c r="L1497" s="186" t="s">
        <v>504</v>
      </c>
      <c r="M1497" s="50"/>
      <c r="N1497" s="50"/>
      <c r="T1497" s="10"/>
      <c r="U1497" s="10"/>
    </row>
    <row r="1498" spans="1:23" ht="30" customHeight="1" x14ac:dyDescent="0.35">
      <c r="A1498" s="186">
        <v>93210</v>
      </c>
      <c r="B1498" s="1212" t="s">
        <v>802</v>
      </c>
      <c r="C1498" s="1213"/>
      <c r="D1498" s="1214"/>
      <c r="E1498" s="202">
        <f>+Q930</f>
        <v>149.81</v>
      </c>
      <c r="F1498" s="127" t="s">
        <v>16</v>
      </c>
      <c r="G1498" s="788">
        <v>26</v>
      </c>
      <c r="H1498" s="714" t="s">
        <v>514</v>
      </c>
      <c r="I1498" s="835">
        <f>+S930</f>
        <v>0.93863689284411045</v>
      </c>
      <c r="J1498" s="186"/>
      <c r="K1498" s="194">
        <f>+E1498*G1498*I1498</f>
        <v>3656.0470158413809</v>
      </c>
      <c r="L1498" s="186" t="s">
        <v>504</v>
      </c>
      <c r="M1498" s="50"/>
      <c r="N1498" s="50"/>
      <c r="T1498" s="10"/>
      <c r="U1498" s="10"/>
    </row>
    <row r="1499" spans="1:23" ht="30" customHeight="1" x14ac:dyDescent="0.35">
      <c r="A1499" s="1511" t="s">
        <v>3028</v>
      </c>
      <c r="B1499" s="1521"/>
      <c r="C1499" s="1521"/>
      <c r="D1499" s="1237"/>
      <c r="E1499" s="194"/>
      <c r="F1499" s="186"/>
      <c r="G1499" s="503"/>
      <c r="H1499" s="534"/>
      <c r="I1499" s="186"/>
      <c r="J1499" s="186" t="s">
        <v>251</v>
      </c>
      <c r="K1499" s="194">
        <f>SUM(K1494:K1498)</f>
        <v>8896.9170745019073</v>
      </c>
      <c r="L1499" s="186" t="s">
        <v>504</v>
      </c>
      <c r="M1499" s="50"/>
      <c r="N1499" s="50"/>
      <c r="T1499" s="10"/>
      <c r="U1499" s="10"/>
    </row>
    <row r="1500" spans="1:23" ht="30" customHeight="1" thickBot="1" x14ac:dyDescent="0.4">
      <c r="A1500" s="1522"/>
      <c r="B1500" s="1523"/>
      <c r="C1500" s="1523"/>
      <c r="D1500" s="1524"/>
      <c r="E1500" s="503"/>
      <c r="F1500" s="503"/>
      <c r="G1500" s="1366" t="s">
        <v>257</v>
      </c>
      <c r="H1500" s="1367"/>
      <c r="I1500" s="1368"/>
      <c r="J1500" s="560">
        <f>VLOOKUP(B1492,'Mil Cost Premiums for PUCs'!$A$4:$R$285,18,FALSE)</f>
        <v>1.0485669999999998</v>
      </c>
      <c r="K1500" s="193">
        <f>+K1499*J1500</f>
        <v>9329.0136460592403</v>
      </c>
      <c r="L1500" s="186" t="s">
        <v>504</v>
      </c>
      <c r="M1500" s="50"/>
      <c r="N1500" s="50"/>
      <c r="O1500" s="572"/>
      <c r="P1500" s="384"/>
      <c r="Q1500" s="396"/>
      <c r="R1500" s="396"/>
      <c r="S1500" s="396"/>
      <c r="T1500" s="396"/>
      <c r="U1500" s="396"/>
      <c r="V1500" s="396"/>
      <c r="W1500" s="396"/>
    </row>
    <row r="1501" spans="1:23" ht="30" customHeight="1" thickBot="1" x14ac:dyDescent="0.4">
      <c r="A1501" s="1199"/>
      <c r="B1501" s="1200"/>
      <c r="C1501" s="1200"/>
      <c r="D1501" s="1200"/>
      <c r="E1501" s="1200"/>
      <c r="F1501" s="1200"/>
      <c r="G1501" s="1200"/>
      <c r="H1501" s="1200"/>
      <c r="I1501" s="1200"/>
      <c r="J1501" s="1200"/>
      <c r="K1501" s="1200"/>
      <c r="L1501" s="1201"/>
      <c r="M1501" s="50"/>
      <c r="N1501" s="50"/>
    </row>
    <row r="1502" spans="1:23" ht="30" customHeight="1" x14ac:dyDescent="0.35">
      <c r="A1502" s="388" t="s">
        <v>1</v>
      </c>
      <c r="B1502" s="389">
        <v>1798</v>
      </c>
      <c r="C1502" s="1205" t="s">
        <v>803</v>
      </c>
      <c r="D1502" s="1206"/>
      <c r="E1502" s="392" t="s">
        <v>3</v>
      </c>
      <c r="F1502" s="393" t="s">
        <v>40</v>
      </c>
      <c r="G1502" s="394" t="s">
        <v>804</v>
      </c>
      <c r="H1502" s="728">
        <v>1</v>
      </c>
      <c r="I1502" s="392" t="s">
        <v>5</v>
      </c>
      <c r="J1502" s="1556" t="s">
        <v>3010</v>
      </c>
      <c r="K1502" s="1556"/>
      <c r="L1502" s="1557"/>
      <c r="M1502" s="50"/>
      <c r="N1502" s="50"/>
      <c r="O1502" s="14"/>
    </row>
    <row r="1503" spans="1:23" ht="30" customHeight="1" x14ac:dyDescent="0.35">
      <c r="A1503" s="185" t="s">
        <v>506</v>
      </c>
      <c r="B1503" s="1280" t="s">
        <v>211</v>
      </c>
      <c r="C1503" s="1281"/>
      <c r="D1503" s="1282"/>
      <c r="E1503" s="566" t="s">
        <v>52</v>
      </c>
      <c r="F1503" s="566" t="s">
        <v>53</v>
      </c>
      <c r="G1503" s="1219" t="s">
        <v>54</v>
      </c>
      <c r="H1503" s="1220"/>
      <c r="I1503" s="185" t="s">
        <v>188</v>
      </c>
      <c r="J1503" s="632" t="s">
        <v>195</v>
      </c>
      <c r="K1503" s="1209" t="s">
        <v>180</v>
      </c>
      <c r="L1503" s="1210"/>
      <c r="M1503" s="50"/>
      <c r="N1503" s="50"/>
      <c r="O1503" s="572"/>
      <c r="P1503" s="384"/>
      <c r="Q1503" s="396"/>
      <c r="R1503" s="396"/>
      <c r="S1503" s="396"/>
      <c r="T1503" s="396"/>
      <c r="U1503" s="396"/>
    </row>
    <row r="1504" spans="1:23" ht="30" customHeight="1" x14ac:dyDescent="0.35">
      <c r="A1504" s="186" t="s">
        <v>465</v>
      </c>
      <c r="B1504" s="1212" t="s">
        <v>805</v>
      </c>
      <c r="C1504" s="1213"/>
      <c r="D1504" s="1214"/>
      <c r="E1504" s="202">
        <f>+Q911</f>
        <v>14.375</v>
      </c>
      <c r="F1504" s="186" t="s">
        <v>108</v>
      </c>
      <c r="G1504" s="788">
        <f>(720*10.7639)</f>
        <v>7750.0079999999998</v>
      </c>
      <c r="H1504" s="714" t="s">
        <v>609</v>
      </c>
      <c r="I1504" s="186">
        <f>+S911</f>
        <v>1.07</v>
      </c>
      <c r="J1504" s="204">
        <f>+T911</f>
        <v>0.98130841121495327</v>
      </c>
      <c r="K1504" s="194">
        <f>+E1504*G1504*I1504*J1504</f>
        <v>116976.68324999999</v>
      </c>
      <c r="L1504" s="186" t="s">
        <v>40</v>
      </c>
      <c r="M1504" s="50"/>
      <c r="N1504" s="50"/>
    </row>
    <row r="1505" spans="1:25" ht="30" customHeight="1" x14ac:dyDescent="0.35">
      <c r="A1505" s="186" t="s">
        <v>465</v>
      </c>
      <c r="B1505" s="1212" t="s">
        <v>806</v>
      </c>
      <c r="C1505" s="1213"/>
      <c r="D1505" s="1214"/>
      <c r="E1505" s="201">
        <f>+Q910</f>
        <v>11.775</v>
      </c>
      <c r="F1505" s="127" t="s">
        <v>108</v>
      </c>
      <c r="G1505" s="788">
        <f>3*144</f>
        <v>432</v>
      </c>
      <c r="H1505" s="714" t="s">
        <v>609</v>
      </c>
      <c r="I1505" s="186">
        <f>+S910</f>
        <v>1.07</v>
      </c>
      <c r="J1505" s="204">
        <f>+T910</f>
        <v>0.98130841121495327</v>
      </c>
      <c r="K1505" s="194">
        <f>+E1505*G1505*I1505*J1505</f>
        <v>5341.14</v>
      </c>
      <c r="L1505" s="186" t="s">
        <v>40</v>
      </c>
      <c r="M1505" s="50"/>
      <c r="N1505" s="50"/>
    </row>
    <row r="1506" spans="1:25" ht="30" customHeight="1" x14ac:dyDescent="0.35">
      <c r="A1506" s="186">
        <v>93410</v>
      </c>
      <c r="B1506" s="1212" t="s">
        <v>807</v>
      </c>
      <c r="C1506" s="1213"/>
      <c r="D1506" s="1214"/>
      <c r="E1506" s="202">
        <f>+Q928</f>
        <v>11.54</v>
      </c>
      <c r="F1506" s="127" t="s">
        <v>16</v>
      </c>
      <c r="G1506" s="788">
        <v>1883</v>
      </c>
      <c r="H1506" s="714" t="s">
        <v>617</v>
      </c>
      <c r="I1506" s="835">
        <f>+S928</f>
        <v>0.93863689284411045</v>
      </c>
      <c r="J1506" s="186"/>
      <c r="K1506" s="194">
        <f>+E1506*G1506*I1506</f>
        <v>20396.410726861806</v>
      </c>
      <c r="L1506" s="186" t="s">
        <v>40</v>
      </c>
      <c r="M1506" s="50"/>
      <c r="N1506" s="50"/>
      <c r="V1506" s="396"/>
      <c r="W1506" s="396"/>
    </row>
    <row r="1507" spans="1:25" ht="30" customHeight="1" x14ac:dyDescent="0.35">
      <c r="A1507" s="186">
        <v>93210</v>
      </c>
      <c r="B1507" s="1212" t="s">
        <v>808</v>
      </c>
      <c r="C1507" s="1213"/>
      <c r="D1507" s="1214"/>
      <c r="E1507" s="202">
        <f>+Q930</f>
        <v>149.81</v>
      </c>
      <c r="F1507" s="127" t="s">
        <v>16</v>
      </c>
      <c r="G1507" s="788">
        <v>205</v>
      </c>
      <c r="H1507" s="714" t="s">
        <v>617</v>
      </c>
      <c r="I1507" s="835">
        <f>+S930</f>
        <v>0.93863689284411045</v>
      </c>
      <c r="J1507" s="186"/>
      <c r="K1507" s="194">
        <f>+E1507*G1507*I1507</f>
        <v>28826.524547980116</v>
      </c>
      <c r="L1507" s="186" t="s">
        <v>40</v>
      </c>
      <c r="M1507" s="50"/>
      <c r="N1507" s="50"/>
      <c r="T1507" s="53"/>
      <c r="U1507" s="53"/>
    </row>
    <row r="1508" spans="1:25" ht="30" customHeight="1" x14ac:dyDescent="0.35">
      <c r="A1508" s="1511" t="s">
        <v>3028</v>
      </c>
      <c r="B1508" s="1521"/>
      <c r="C1508" s="1521"/>
      <c r="D1508" s="1237"/>
      <c r="E1508" s="194"/>
      <c r="F1508" s="186"/>
      <c r="G1508" s="503"/>
      <c r="H1508" s="534"/>
      <c r="I1508" s="186"/>
      <c r="J1508" s="186" t="s">
        <v>251</v>
      </c>
      <c r="K1508" s="194">
        <f>SUM(K1504:K1507)</f>
        <v>171540.75852484189</v>
      </c>
      <c r="L1508" s="186" t="s">
        <v>40</v>
      </c>
      <c r="M1508" s="50"/>
      <c r="N1508" s="50"/>
      <c r="T1508" s="10"/>
      <c r="U1508" s="10"/>
    </row>
    <row r="1509" spans="1:25" ht="30" customHeight="1" thickBot="1" x14ac:dyDescent="0.4">
      <c r="A1509" s="1522"/>
      <c r="B1509" s="1523"/>
      <c r="C1509" s="1523"/>
      <c r="D1509" s="1524"/>
      <c r="E1509" s="503"/>
      <c r="F1509" s="503"/>
      <c r="G1509" s="1366" t="s">
        <v>257</v>
      </c>
      <c r="H1509" s="1367"/>
      <c r="I1509" s="1368"/>
      <c r="J1509" s="560">
        <f>VLOOKUP(B1502,'Mil Cost Premiums for PUCs'!$A$4:$R$285,18,FALSE)</f>
        <v>1.0485669999999998</v>
      </c>
      <c r="K1509" s="193">
        <f>+K1508*J1509</f>
        <v>179871.97854411785</v>
      </c>
      <c r="L1509" s="186" t="s">
        <v>40</v>
      </c>
      <c r="M1509" s="50"/>
      <c r="N1509" s="50"/>
      <c r="O1509" s="572"/>
      <c r="P1509" s="384"/>
      <c r="Q1509" s="396"/>
      <c r="R1509" s="396"/>
      <c r="S1509" s="396"/>
      <c r="T1509" s="396"/>
      <c r="U1509" s="396"/>
    </row>
    <row r="1510" spans="1:25" ht="30" customHeight="1" thickBot="1" x14ac:dyDescent="0.4">
      <c r="A1510" s="1199"/>
      <c r="B1510" s="1200"/>
      <c r="C1510" s="1200"/>
      <c r="D1510" s="1200"/>
      <c r="E1510" s="1200"/>
      <c r="F1510" s="1200"/>
      <c r="G1510" s="1200"/>
      <c r="H1510" s="1200"/>
      <c r="I1510" s="1200"/>
      <c r="J1510" s="1200"/>
      <c r="K1510" s="1200"/>
      <c r="L1510" s="1201"/>
      <c r="M1510" s="50"/>
      <c r="N1510" s="50"/>
      <c r="X1510" s="14"/>
      <c r="Y1510" s="14"/>
    </row>
    <row r="1511" spans="1:25" s="14" customFormat="1" ht="30" customHeight="1" x14ac:dyDescent="0.35">
      <c r="A1511" s="388" t="s">
        <v>1</v>
      </c>
      <c r="B1511" s="389">
        <v>1799</v>
      </c>
      <c r="C1511" s="1290" t="s">
        <v>809</v>
      </c>
      <c r="D1511" s="1291"/>
      <c r="E1511" s="392" t="s">
        <v>3</v>
      </c>
      <c r="F1511" s="393" t="s">
        <v>40</v>
      </c>
      <c r="G1511" s="520" t="s">
        <v>2</v>
      </c>
      <c r="H1511" s="728">
        <v>1</v>
      </c>
      <c r="I1511" s="392" t="s">
        <v>810</v>
      </c>
      <c r="J1511" s="1207" t="s">
        <v>186</v>
      </c>
      <c r="K1511" s="1207"/>
      <c r="L1511" s="1208"/>
      <c r="M1511" s="50"/>
      <c r="N1511" s="50"/>
      <c r="O1511" s="9"/>
      <c r="Q1511" s="9"/>
      <c r="R1511" s="9"/>
      <c r="S1511" s="9"/>
      <c r="T1511" s="9"/>
      <c r="U1511" s="9"/>
      <c r="V1511" s="396"/>
      <c r="W1511" s="396"/>
      <c r="X1511" s="9"/>
      <c r="Y1511" s="9"/>
    </row>
    <row r="1512" spans="1:25" ht="30" customHeight="1" x14ac:dyDescent="0.35">
      <c r="A1512" s="185" t="s">
        <v>506</v>
      </c>
      <c r="B1512" s="1590" t="s">
        <v>811</v>
      </c>
      <c r="C1512" s="1663"/>
      <c r="D1512" s="1591"/>
      <c r="E1512" s="566" t="s">
        <v>52</v>
      </c>
      <c r="F1512" s="566" t="s">
        <v>53</v>
      </c>
      <c r="G1512" s="1219" t="s">
        <v>54</v>
      </c>
      <c r="H1512" s="1220"/>
      <c r="I1512" s="185" t="s">
        <v>188</v>
      </c>
      <c r="J1512" s="185"/>
      <c r="K1512" s="494" t="s">
        <v>812</v>
      </c>
      <c r="L1512" s="494"/>
      <c r="M1512" s="50"/>
      <c r="N1512" s="50"/>
      <c r="T1512" s="53"/>
      <c r="U1512" s="53"/>
    </row>
    <row r="1513" spans="1:25" ht="30" customHeight="1" x14ac:dyDescent="0.35">
      <c r="A1513" s="186" t="s">
        <v>347</v>
      </c>
      <c r="B1513" s="1389" t="s">
        <v>813</v>
      </c>
      <c r="C1513" s="1390"/>
      <c r="D1513" s="1391"/>
      <c r="E1513" s="201">
        <v>7.05</v>
      </c>
      <c r="F1513" s="127" t="s">
        <v>16</v>
      </c>
      <c r="G1513" s="788">
        <v>2040</v>
      </c>
      <c r="H1513" s="714" t="s">
        <v>814</v>
      </c>
      <c r="I1513" s="773">
        <v>1.1200000000000001</v>
      </c>
      <c r="J1513" s="186"/>
      <c r="K1513" s="194">
        <f t="shared" ref="K1513:K1518" si="40">+E1513*G1513*I1513</f>
        <v>16107.840000000002</v>
      </c>
      <c r="L1513" s="186" t="s">
        <v>40</v>
      </c>
      <c r="M1513" s="50"/>
      <c r="N1513" s="50"/>
      <c r="T1513" s="10"/>
      <c r="U1513" s="10"/>
    </row>
    <row r="1514" spans="1:25" ht="45" customHeight="1" x14ac:dyDescent="0.35">
      <c r="A1514" s="186" t="s">
        <v>501</v>
      </c>
      <c r="B1514" s="1212" t="s">
        <v>815</v>
      </c>
      <c r="C1514" s="1213"/>
      <c r="D1514" s="1214"/>
      <c r="E1514" s="201">
        <v>0.28999999999999998</v>
      </c>
      <c r="F1514" s="127" t="s">
        <v>108</v>
      </c>
      <c r="G1514" s="788">
        <f>3060*9</f>
        <v>27540</v>
      </c>
      <c r="H1514" s="714" t="s">
        <v>816</v>
      </c>
      <c r="I1514" s="773">
        <v>1.23</v>
      </c>
      <c r="J1514" s="186"/>
      <c r="K1514" s="194">
        <f t="shared" si="40"/>
        <v>9823.518</v>
      </c>
      <c r="L1514" s="186" t="s">
        <v>40</v>
      </c>
      <c r="M1514" s="50"/>
      <c r="N1514" s="50"/>
      <c r="O1514" s="572"/>
      <c r="P1514" s="384"/>
      <c r="Q1514" s="396"/>
      <c r="R1514" s="396"/>
      <c r="S1514" s="396"/>
      <c r="T1514" s="396"/>
      <c r="U1514" s="396"/>
    </row>
    <row r="1515" spans="1:25" ht="30" customHeight="1" x14ac:dyDescent="0.35">
      <c r="A1515" s="186" t="s">
        <v>347</v>
      </c>
      <c r="B1515" s="1212" t="s">
        <v>817</v>
      </c>
      <c r="C1515" s="1213"/>
      <c r="D1515" s="1214"/>
      <c r="E1515" s="201">
        <f>+(0.69+5.12)/2</f>
        <v>2.9050000000000002</v>
      </c>
      <c r="F1515" s="127" t="s">
        <v>4</v>
      </c>
      <c r="G1515" s="788">
        <v>3060</v>
      </c>
      <c r="H1515" s="714"/>
      <c r="I1515" s="773">
        <v>1.1200000000000001</v>
      </c>
      <c r="J1515" s="186"/>
      <c r="K1515" s="194">
        <f t="shared" si="40"/>
        <v>9956.0160000000014</v>
      </c>
      <c r="L1515" s="186" t="s">
        <v>40</v>
      </c>
      <c r="M1515" s="50"/>
      <c r="N1515" s="50"/>
    </row>
    <row r="1516" spans="1:25" ht="30" customHeight="1" x14ac:dyDescent="0.35">
      <c r="A1516" s="186" t="s">
        <v>501</v>
      </c>
      <c r="B1516" s="1347" t="s">
        <v>818</v>
      </c>
      <c r="C1516" s="1348"/>
      <c r="D1516" s="1349"/>
      <c r="E1516" s="202">
        <v>0.45</v>
      </c>
      <c r="F1516" s="186" t="s">
        <v>108</v>
      </c>
      <c r="G1516" s="788">
        <f>3060*9</f>
        <v>27540</v>
      </c>
      <c r="H1516" s="714" t="s">
        <v>816</v>
      </c>
      <c r="I1516" s="204">
        <v>1.23</v>
      </c>
      <c r="J1516" s="186"/>
      <c r="K1516" s="194">
        <f t="shared" si="40"/>
        <v>15243.39</v>
      </c>
      <c r="L1516" s="186" t="s">
        <v>40</v>
      </c>
      <c r="M1516" s="50"/>
      <c r="N1516" s="50"/>
      <c r="V1516" s="396"/>
      <c r="W1516" s="396"/>
    </row>
    <row r="1517" spans="1:25" ht="30" customHeight="1" x14ac:dyDescent="0.35">
      <c r="A1517" s="186" t="s">
        <v>819</v>
      </c>
      <c r="B1517" s="1389" t="s">
        <v>820</v>
      </c>
      <c r="C1517" s="1390"/>
      <c r="D1517" s="1391"/>
      <c r="E1517" s="202">
        <f>(24.15+36.25)/2</f>
        <v>30.2</v>
      </c>
      <c r="F1517" s="127" t="s">
        <v>28</v>
      </c>
      <c r="G1517" s="788">
        <f>18*4*20</f>
        <v>1440</v>
      </c>
      <c r="H1517" s="714" t="s">
        <v>28</v>
      </c>
      <c r="I1517" s="204">
        <v>1.1499999999999999</v>
      </c>
      <c r="J1517" s="186"/>
      <c r="K1517" s="194">
        <f t="shared" si="40"/>
        <v>50011.199999999997</v>
      </c>
      <c r="L1517" s="186" t="s">
        <v>40</v>
      </c>
      <c r="M1517" s="50"/>
      <c r="N1517" s="50"/>
      <c r="T1517" s="53"/>
    </row>
    <row r="1518" spans="1:25" ht="30" customHeight="1" x14ac:dyDescent="0.35">
      <c r="A1518" s="186" t="s">
        <v>819</v>
      </c>
      <c r="B1518" s="1389" t="s">
        <v>821</v>
      </c>
      <c r="C1518" s="1390"/>
      <c r="D1518" s="1391"/>
      <c r="E1518" s="202">
        <f>(5.05+5.75)/2</f>
        <v>5.4</v>
      </c>
      <c r="F1518" s="127" t="s">
        <v>28</v>
      </c>
      <c r="G1518" s="788">
        <f>18*14*10</f>
        <v>2520</v>
      </c>
      <c r="H1518" s="714" t="s">
        <v>28</v>
      </c>
      <c r="I1518" s="204">
        <v>1.1499999999999999</v>
      </c>
      <c r="J1518" s="186"/>
      <c r="K1518" s="194">
        <f t="shared" si="40"/>
        <v>15649.199999999999</v>
      </c>
      <c r="L1518" s="186" t="s">
        <v>40</v>
      </c>
      <c r="M1518" s="50"/>
      <c r="N1518" s="50"/>
      <c r="O1518" s="5"/>
      <c r="P1518" s="9"/>
      <c r="Q1518" s="34"/>
      <c r="R1518" s="5"/>
      <c r="S1518" s="35"/>
    </row>
    <row r="1519" spans="1:25" ht="30" customHeight="1" x14ac:dyDescent="0.35">
      <c r="A1519" s="186"/>
      <c r="B1519" s="1264"/>
      <c r="C1519" s="1264"/>
      <c r="D1519" s="1264"/>
      <c r="E1519" s="194"/>
      <c r="F1519" s="186"/>
      <c r="G1519" s="875"/>
      <c r="H1519" s="534"/>
      <c r="I1519" s="186"/>
      <c r="J1519" s="186" t="s">
        <v>251</v>
      </c>
      <c r="K1519" s="194">
        <f>SUM(K1513:K1518)</f>
        <v>116791.164</v>
      </c>
      <c r="L1519" s="186" t="s">
        <v>40</v>
      </c>
      <c r="M1519" s="50"/>
      <c r="N1519" s="50"/>
      <c r="O1519" s="5"/>
      <c r="P1519" s="9"/>
      <c r="Q1519" s="34"/>
      <c r="R1519" s="5"/>
      <c r="S1519" s="35"/>
    </row>
    <row r="1520" spans="1:25" ht="30" customHeight="1" x14ac:dyDescent="0.35">
      <c r="A1520" s="280"/>
      <c r="B1520" s="1264"/>
      <c r="C1520" s="1264"/>
      <c r="D1520" s="1264"/>
      <c r="E1520" s="194"/>
      <c r="F1520" s="1215" t="s">
        <v>195</v>
      </c>
      <c r="G1520" s="1273" t="s">
        <v>196</v>
      </c>
      <c r="H1520" s="1273"/>
      <c r="I1520" s="1273"/>
      <c r="J1520" s="1273"/>
      <c r="K1520" s="196">
        <v>1.06</v>
      </c>
      <c r="L1520" s="186"/>
      <c r="M1520" s="50"/>
      <c r="N1520" s="50"/>
      <c r="O1520" s="5"/>
      <c r="P1520" s="9"/>
      <c r="Q1520" s="34"/>
      <c r="R1520" s="5"/>
      <c r="S1520" s="35"/>
    </row>
    <row r="1521" spans="1:19" ht="30" customHeight="1" x14ac:dyDescent="0.35">
      <c r="A1521" s="280"/>
      <c r="B1521" s="1264"/>
      <c r="C1521" s="1264"/>
      <c r="D1521" s="1264"/>
      <c r="E1521" s="194"/>
      <c r="F1521" s="1216"/>
      <c r="G1521" s="1268" t="s">
        <v>197</v>
      </c>
      <c r="H1521" s="1268"/>
      <c r="I1521" s="1268"/>
      <c r="J1521" s="1268"/>
      <c r="K1521" s="196">
        <v>1.06</v>
      </c>
      <c r="L1521" s="186"/>
      <c r="M1521" s="50"/>
      <c r="N1521" s="50"/>
      <c r="O1521" s="5"/>
      <c r="P1521" s="9"/>
      <c r="Q1521" s="34"/>
      <c r="R1521" s="5"/>
      <c r="S1521" s="35"/>
    </row>
    <row r="1522" spans="1:19" ht="30" customHeight="1" x14ac:dyDescent="0.35">
      <c r="A1522" s="1742" t="s">
        <v>822</v>
      </c>
      <c r="B1522" s="1743"/>
      <c r="C1522" s="1743"/>
      <c r="D1522" s="1744"/>
      <c r="E1522" s="194"/>
      <c r="F1522" s="186"/>
      <c r="G1522" s="503"/>
      <c r="H1522" s="534"/>
      <c r="I1522" s="186"/>
      <c r="J1522" s="186" t="s">
        <v>37</v>
      </c>
      <c r="K1522" s="194">
        <f>+K1519*K1520/K1521</f>
        <v>116791.164</v>
      </c>
      <c r="L1522" s="186" t="s">
        <v>40</v>
      </c>
      <c r="M1522" s="50"/>
      <c r="N1522" s="50"/>
      <c r="O1522" s="5"/>
      <c r="P1522" s="9"/>
      <c r="Q1522" s="34"/>
      <c r="R1522" s="5"/>
      <c r="S1522" s="35"/>
    </row>
    <row r="1523" spans="1:19" ht="30" customHeight="1" thickBot="1" x14ac:dyDescent="0.4">
      <c r="A1523" s="1745"/>
      <c r="B1523" s="1746"/>
      <c r="C1523" s="1746"/>
      <c r="D1523" s="1747"/>
      <c r="E1523" s="503"/>
      <c r="F1523" s="503"/>
      <c r="G1523" s="1374" t="s">
        <v>257</v>
      </c>
      <c r="H1523" s="1375"/>
      <c r="I1523" s="1376"/>
      <c r="J1523" s="560">
        <f>VLOOKUP(B1511,'Mil Cost Premiums for PUCs'!$A$4:$R$285,18,FALSE)</f>
        <v>1.0485669999999998</v>
      </c>
      <c r="K1523" s="193">
        <f>+K1522*J1523</f>
        <v>122463.36046198798</v>
      </c>
      <c r="L1523" s="186" t="s">
        <v>40</v>
      </c>
      <c r="M1523" s="96"/>
      <c r="N1523" s="50"/>
      <c r="O1523" s="5"/>
      <c r="P1523" s="9"/>
      <c r="Q1523" s="34"/>
      <c r="R1523" s="5"/>
      <c r="S1523" s="35"/>
    </row>
    <row r="1524" spans="1:19" ht="30" customHeight="1" x14ac:dyDescent="0.35">
      <c r="A1524" s="569"/>
      <c r="B1524" s="569"/>
      <c r="C1524" s="510"/>
      <c r="D1524" s="510"/>
      <c r="E1524" s="510"/>
      <c r="F1524" s="510"/>
      <c r="G1524" s="1191" t="s">
        <v>2817</v>
      </c>
      <c r="H1524" s="1192"/>
      <c r="I1524" s="1193"/>
      <c r="J1524" s="570">
        <v>1.1214</v>
      </c>
      <c r="K1524" s="285">
        <f>+K1523*J1524</f>
        <v>137330.41242207331</v>
      </c>
      <c r="L1524" s="186" t="s">
        <v>40</v>
      </c>
      <c r="M1524" s="50"/>
      <c r="N1524" s="50"/>
      <c r="P1524" s="34"/>
      <c r="Q1524" s="5"/>
      <c r="R1524" s="35"/>
    </row>
    <row r="1525" spans="1:19" ht="30" customHeight="1" thickBot="1" x14ac:dyDescent="0.4">
      <c r="A1525" s="569"/>
      <c r="B1525" s="569"/>
      <c r="C1525" s="510"/>
      <c r="D1525" s="510"/>
      <c r="E1525" s="510"/>
      <c r="F1525" s="510"/>
      <c r="G1525" s="1191" t="s">
        <v>3000</v>
      </c>
      <c r="H1525" s="1192"/>
      <c r="I1525" s="1193"/>
      <c r="J1525" s="570">
        <v>1.0438745311870361</v>
      </c>
      <c r="K1525" s="285">
        <f>+K1524*J1525</f>
        <v>143355.71988481408</v>
      </c>
      <c r="L1525" s="186" t="s">
        <v>40</v>
      </c>
      <c r="M1525" s="50"/>
      <c r="N1525" s="50"/>
      <c r="P1525" s="34"/>
      <c r="Q1525" s="5"/>
      <c r="R1525" s="35"/>
    </row>
    <row r="1526" spans="1:19" ht="30" customHeight="1" thickBot="1" x14ac:dyDescent="0.4">
      <c r="A1526" s="1660"/>
      <c r="B1526" s="1661"/>
      <c r="C1526" s="1661"/>
      <c r="D1526" s="1661"/>
      <c r="E1526" s="1661"/>
      <c r="F1526" s="1661"/>
      <c r="G1526" s="1661"/>
      <c r="H1526" s="1661"/>
      <c r="I1526" s="1661"/>
      <c r="J1526" s="1661"/>
      <c r="K1526" s="1661"/>
      <c r="L1526" s="1662"/>
      <c r="M1526" s="50"/>
      <c r="N1526" s="50"/>
      <c r="P1526" s="34"/>
      <c r="Q1526" s="5"/>
      <c r="R1526" s="35"/>
    </row>
    <row r="1527" spans="1:19" ht="30" customHeight="1" x14ac:dyDescent="0.35">
      <c r="A1527" s="388" t="s">
        <v>1</v>
      </c>
      <c r="B1527" s="389">
        <v>2111</v>
      </c>
      <c r="C1527" s="1290" t="s">
        <v>823</v>
      </c>
      <c r="D1527" s="1291"/>
      <c r="E1527" s="392" t="s">
        <v>3</v>
      </c>
      <c r="F1527" s="393" t="s">
        <v>108</v>
      </c>
      <c r="G1527" s="390" t="s">
        <v>38</v>
      </c>
      <c r="H1527" s="195">
        <v>31477.411754708799</v>
      </c>
      <c r="I1527" s="392" t="s">
        <v>5</v>
      </c>
      <c r="J1527" s="1304" t="s">
        <v>2861</v>
      </c>
      <c r="K1527" s="1305"/>
      <c r="L1527" s="1306"/>
      <c r="M1527" s="50"/>
      <c r="N1527" s="50"/>
      <c r="P1527" s="34"/>
      <c r="Q1527" s="5"/>
      <c r="R1527" s="35"/>
    </row>
    <row r="1528" spans="1:19" ht="30" customHeight="1" x14ac:dyDescent="0.35">
      <c r="A1528" s="185" t="s">
        <v>177</v>
      </c>
      <c r="B1528" s="1272" t="s">
        <v>7</v>
      </c>
      <c r="C1528" s="1272"/>
      <c r="D1528" s="1272"/>
      <c r="E1528" s="492" t="s">
        <v>178</v>
      </c>
      <c r="F1528" s="397" t="s">
        <v>52</v>
      </c>
      <c r="G1528" s="185"/>
      <c r="H1528" s="185"/>
      <c r="I1528" s="1221" t="s">
        <v>56</v>
      </c>
      <c r="J1528" s="1222"/>
      <c r="K1528" s="1209" t="s">
        <v>180</v>
      </c>
      <c r="L1528" s="1210"/>
      <c r="M1528" s="50"/>
      <c r="N1528" s="50"/>
      <c r="P1528" s="34"/>
      <c r="Q1528" s="5"/>
      <c r="R1528" s="35"/>
    </row>
    <row r="1529" spans="1:19" ht="30" customHeight="1" x14ac:dyDescent="0.35">
      <c r="A1529" s="401" t="s">
        <v>181</v>
      </c>
      <c r="B1529" s="1265" t="s">
        <v>824</v>
      </c>
      <c r="C1529" s="1265"/>
      <c r="D1529" s="1265"/>
      <c r="E1529" s="531">
        <v>130000</v>
      </c>
      <c r="F1529" s="187">
        <v>700</v>
      </c>
      <c r="G1529" s="532"/>
      <c r="H1529" s="533"/>
      <c r="I1529" s="1217" t="str">
        <f>+$I$310</f>
        <v>NA;  GUCs are as of October 2023</v>
      </c>
      <c r="J1529" s="1218"/>
      <c r="K1529" s="187">
        <f>+F1529</f>
        <v>700</v>
      </c>
      <c r="L1529" s="401" t="s">
        <v>108</v>
      </c>
      <c r="M1529" s="50"/>
      <c r="N1529" s="50"/>
      <c r="P1529" s="34"/>
      <c r="Q1529" s="5"/>
      <c r="R1529" s="35"/>
    </row>
    <row r="1530" spans="1:19" ht="30" customHeight="1" thickBot="1" x14ac:dyDescent="0.4">
      <c r="A1530" s="186"/>
      <c r="B1530" s="1264"/>
      <c r="C1530" s="1264"/>
      <c r="D1530" s="1264"/>
      <c r="E1530" s="535"/>
      <c r="F1530" s="536"/>
      <c r="G1530" s="536"/>
      <c r="H1530" s="537"/>
      <c r="I1530" s="503"/>
      <c r="J1530" s="494" t="s">
        <v>37</v>
      </c>
      <c r="K1530" s="193">
        <f>+K1529</f>
        <v>700</v>
      </c>
      <c r="L1530" s="186" t="s">
        <v>108</v>
      </c>
      <c r="M1530" s="50"/>
      <c r="N1530" s="50"/>
      <c r="P1530" s="34"/>
      <c r="Q1530" s="5"/>
      <c r="R1530" s="35"/>
    </row>
    <row r="1531" spans="1:19" ht="30" customHeight="1" thickBot="1" x14ac:dyDescent="0.4">
      <c r="A1531" s="1199"/>
      <c r="B1531" s="1200"/>
      <c r="C1531" s="1200"/>
      <c r="D1531" s="1200"/>
      <c r="E1531" s="1200"/>
      <c r="F1531" s="1200"/>
      <c r="G1531" s="1200"/>
      <c r="H1531" s="1200"/>
      <c r="I1531" s="1200"/>
      <c r="J1531" s="1200"/>
      <c r="K1531" s="1200"/>
      <c r="L1531" s="1201"/>
      <c r="M1531" s="50"/>
      <c r="N1531" s="50"/>
      <c r="P1531" s="34"/>
      <c r="Q1531" s="5"/>
      <c r="R1531" s="35"/>
    </row>
    <row r="1532" spans="1:19" ht="45" customHeight="1" x14ac:dyDescent="0.35">
      <c r="A1532" s="388" t="s">
        <v>1</v>
      </c>
      <c r="B1532" s="389">
        <v>2112</v>
      </c>
      <c r="C1532" s="1205" t="s">
        <v>825</v>
      </c>
      <c r="D1532" s="1206"/>
      <c r="E1532" s="392" t="s">
        <v>3</v>
      </c>
      <c r="F1532" s="393" t="s">
        <v>108</v>
      </c>
      <c r="G1532" s="390" t="s">
        <v>38</v>
      </c>
      <c r="H1532" s="195">
        <v>10574.717871396801</v>
      </c>
      <c r="I1532" s="392" t="s">
        <v>5</v>
      </c>
      <c r="J1532" s="1673" t="s">
        <v>2873</v>
      </c>
      <c r="K1532" s="1673"/>
      <c r="L1532" s="1409"/>
      <c r="M1532" s="50"/>
      <c r="N1532" s="50"/>
      <c r="P1532" s="34"/>
      <c r="Q1532" s="5"/>
      <c r="R1532" s="35"/>
    </row>
    <row r="1533" spans="1:19" ht="30" customHeight="1" x14ac:dyDescent="0.35">
      <c r="A1533" s="185" t="s">
        <v>177</v>
      </c>
      <c r="B1533" s="1272" t="s">
        <v>7</v>
      </c>
      <c r="C1533" s="1272"/>
      <c r="D1533" s="1272"/>
      <c r="E1533" s="492" t="s">
        <v>178</v>
      </c>
      <c r="F1533" s="397" t="s">
        <v>52</v>
      </c>
      <c r="G1533" s="185"/>
      <c r="H1533" s="185"/>
      <c r="I1533" s="1221" t="s">
        <v>179</v>
      </c>
      <c r="J1533" s="1222"/>
      <c r="K1533" s="1209" t="s">
        <v>180</v>
      </c>
      <c r="L1533" s="1210"/>
      <c r="M1533" s="50"/>
      <c r="P1533" s="34"/>
      <c r="Q1533" s="5"/>
      <c r="R1533" s="35"/>
    </row>
    <row r="1534" spans="1:19" ht="30" customHeight="1" x14ac:dyDescent="0.35">
      <c r="A1534" s="401">
        <v>21120</v>
      </c>
      <c r="B1534" s="1265" t="s">
        <v>2940</v>
      </c>
      <c r="C1534" s="1265"/>
      <c r="D1534" s="1265"/>
      <c r="E1534" s="531">
        <v>98000</v>
      </c>
      <c r="F1534" s="187">
        <v>517</v>
      </c>
      <c r="G1534" s="532"/>
      <c r="H1534" s="533"/>
      <c r="I1534" s="1217">
        <f>+'FY2024 MILCON Inflation Table'!F23</f>
        <v>0.93863689284411045</v>
      </c>
      <c r="J1534" s="1218"/>
      <c r="K1534" s="187">
        <f>+F1534*I1534</f>
        <v>485.27527360040511</v>
      </c>
      <c r="L1534" s="401" t="s">
        <v>108</v>
      </c>
      <c r="M1534" s="50"/>
      <c r="N1534" s="50"/>
      <c r="P1534" s="34"/>
      <c r="Q1534" s="5"/>
      <c r="R1534" s="35"/>
    </row>
    <row r="1535" spans="1:19" ht="30" customHeight="1" thickBot="1" x14ac:dyDescent="0.4">
      <c r="A1535" s="186"/>
      <c r="B1535" s="1264"/>
      <c r="C1535" s="1264"/>
      <c r="D1535" s="1264"/>
      <c r="E1535" s="535"/>
      <c r="F1535" s="536"/>
      <c r="G1535" s="536"/>
      <c r="H1535" s="537"/>
      <c r="I1535" s="503"/>
      <c r="J1535" s="494" t="s">
        <v>37</v>
      </c>
      <c r="K1535" s="193">
        <f>+K1534</f>
        <v>485.27527360040511</v>
      </c>
      <c r="L1535" s="186" t="s">
        <v>108</v>
      </c>
      <c r="M1535" s="50"/>
      <c r="N1535" s="50"/>
      <c r="P1535" s="34"/>
      <c r="Q1535" s="5"/>
      <c r="R1535" s="35"/>
    </row>
    <row r="1536" spans="1:19" ht="30" customHeight="1" thickBot="1" x14ac:dyDescent="0.4">
      <c r="A1536" s="1199"/>
      <c r="B1536" s="1200"/>
      <c r="C1536" s="1200"/>
      <c r="D1536" s="1200"/>
      <c r="E1536" s="1200"/>
      <c r="F1536" s="1200"/>
      <c r="G1536" s="1200"/>
      <c r="H1536" s="1200"/>
      <c r="I1536" s="1200"/>
      <c r="J1536" s="1200"/>
      <c r="K1536" s="1200"/>
      <c r="L1536" s="1201"/>
      <c r="M1536" s="50"/>
      <c r="N1536" s="50"/>
      <c r="P1536" s="34"/>
      <c r="Q1536" s="5"/>
      <c r="R1536" s="35"/>
    </row>
    <row r="1537" spans="1:23" ht="30" customHeight="1" x14ac:dyDescent="0.35">
      <c r="A1537" s="388" t="s">
        <v>1</v>
      </c>
      <c r="B1537" s="389">
        <v>2113</v>
      </c>
      <c r="C1537" s="1290" t="s">
        <v>830</v>
      </c>
      <c r="D1537" s="1291"/>
      <c r="E1537" s="392" t="s">
        <v>3</v>
      </c>
      <c r="F1537" s="393" t="s">
        <v>108</v>
      </c>
      <c r="G1537" s="390" t="s">
        <v>38</v>
      </c>
      <c r="H1537" s="195">
        <v>16313.747300000001</v>
      </c>
      <c r="I1537" s="392" t="s">
        <v>5</v>
      </c>
      <c r="J1537" s="1304" t="s">
        <v>2861</v>
      </c>
      <c r="K1537" s="1305"/>
      <c r="L1537" s="1306"/>
      <c r="M1537" s="50"/>
      <c r="N1537" s="50"/>
      <c r="P1537" s="34"/>
      <c r="Q1537" s="5"/>
      <c r="R1537" s="35"/>
    </row>
    <row r="1538" spans="1:23" ht="30" customHeight="1" x14ac:dyDescent="0.35">
      <c r="A1538" s="185" t="s">
        <v>177</v>
      </c>
      <c r="B1538" s="1272" t="s">
        <v>7</v>
      </c>
      <c r="C1538" s="1272"/>
      <c r="D1538" s="1272"/>
      <c r="E1538" s="492" t="s">
        <v>178</v>
      </c>
      <c r="F1538" s="397" t="s">
        <v>52</v>
      </c>
      <c r="G1538" s="185"/>
      <c r="H1538" s="185"/>
      <c r="I1538" s="1221" t="s">
        <v>179</v>
      </c>
      <c r="J1538" s="1222"/>
      <c r="K1538" s="1209" t="s">
        <v>180</v>
      </c>
      <c r="L1538" s="1210"/>
      <c r="M1538" s="50"/>
      <c r="N1538" s="50"/>
      <c r="O1538" s="5"/>
      <c r="P1538" s="9"/>
      <c r="Q1538" s="34"/>
      <c r="R1538" s="5"/>
      <c r="S1538" s="35"/>
    </row>
    <row r="1539" spans="1:23" ht="30" customHeight="1" x14ac:dyDescent="0.35">
      <c r="A1539" s="401" t="s">
        <v>181</v>
      </c>
      <c r="B1539" s="1265" t="s">
        <v>831</v>
      </c>
      <c r="C1539" s="1265"/>
      <c r="D1539" s="1265"/>
      <c r="E1539" s="531">
        <v>50000</v>
      </c>
      <c r="F1539" s="187">
        <v>997</v>
      </c>
      <c r="G1539" s="532"/>
      <c r="H1539" s="533"/>
      <c r="I1539" s="1217" t="str">
        <f>+$I$310</f>
        <v>NA;  GUCs are as of October 2023</v>
      </c>
      <c r="J1539" s="1218"/>
      <c r="K1539" s="187">
        <f>+F1539</f>
        <v>997</v>
      </c>
      <c r="L1539" s="401" t="s">
        <v>108</v>
      </c>
      <c r="M1539" s="50"/>
      <c r="N1539" s="50"/>
      <c r="O1539" s="5"/>
      <c r="P1539" s="9"/>
      <c r="Q1539" s="34"/>
      <c r="R1539" s="5"/>
      <c r="S1539" s="35"/>
    </row>
    <row r="1540" spans="1:23" ht="30" customHeight="1" thickBot="1" x14ac:dyDescent="0.4">
      <c r="A1540" s="186"/>
      <c r="B1540" s="1264"/>
      <c r="C1540" s="1264"/>
      <c r="D1540" s="1264"/>
      <c r="E1540" s="535"/>
      <c r="F1540" s="536"/>
      <c r="G1540" s="536"/>
      <c r="H1540" s="537"/>
      <c r="I1540" s="503"/>
      <c r="J1540" s="494" t="s">
        <v>37</v>
      </c>
      <c r="K1540" s="193">
        <f>+K1539</f>
        <v>997</v>
      </c>
      <c r="L1540" s="186" t="s">
        <v>108</v>
      </c>
      <c r="M1540" s="50"/>
      <c r="N1540" s="50"/>
      <c r="O1540" s="14"/>
      <c r="P1540" s="683"/>
      <c r="Q1540" s="16"/>
      <c r="R1540" s="866"/>
      <c r="S1540" s="14"/>
      <c r="T1540" s="14"/>
      <c r="U1540" s="14"/>
      <c r="V1540" s="14"/>
      <c r="W1540" s="14"/>
    </row>
    <row r="1541" spans="1:23" ht="30" customHeight="1" thickBot="1" x14ac:dyDescent="0.4">
      <c r="A1541" s="385"/>
      <c r="B1541" s="386"/>
      <c r="C1541" s="386"/>
      <c r="D1541" s="386"/>
      <c r="E1541" s="386"/>
      <c r="F1541" s="386"/>
      <c r="G1541" s="386"/>
      <c r="H1541" s="386"/>
      <c r="I1541" s="386"/>
      <c r="J1541" s="386"/>
      <c r="K1541" s="386"/>
      <c r="L1541" s="387"/>
      <c r="M1541" s="50"/>
      <c r="N1541" s="50"/>
      <c r="P1541" s="34"/>
      <c r="Q1541" s="5"/>
      <c r="R1541" s="35"/>
    </row>
    <row r="1542" spans="1:23" ht="30" customHeight="1" x14ac:dyDescent="0.35">
      <c r="A1542" s="388" t="s">
        <v>1</v>
      </c>
      <c r="B1542" s="389">
        <v>2114</v>
      </c>
      <c r="C1542" s="1290" t="s">
        <v>832</v>
      </c>
      <c r="D1542" s="1291"/>
      <c r="E1542" s="392" t="s">
        <v>3</v>
      </c>
      <c r="F1542" s="393" t="s">
        <v>108</v>
      </c>
      <c r="G1542" s="390" t="s">
        <v>38</v>
      </c>
      <c r="H1542" s="132">
        <v>8776</v>
      </c>
      <c r="I1542" s="392" t="s">
        <v>5</v>
      </c>
      <c r="J1542" s="1207" t="s">
        <v>839</v>
      </c>
      <c r="K1542" s="1207"/>
      <c r="L1542" s="1208"/>
      <c r="M1542" s="96"/>
      <c r="N1542" s="50"/>
      <c r="O1542" s="5"/>
      <c r="P1542" s="9"/>
      <c r="Q1542" s="34"/>
      <c r="R1542" s="5"/>
      <c r="S1542" s="35"/>
    </row>
    <row r="1543" spans="1:23" ht="30" customHeight="1" x14ac:dyDescent="0.35">
      <c r="A1543" s="185" t="s">
        <v>177</v>
      </c>
      <c r="B1543" s="1272" t="s">
        <v>7</v>
      </c>
      <c r="C1543" s="1272"/>
      <c r="D1543" s="1272"/>
      <c r="E1543" s="492" t="s">
        <v>178</v>
      </c>
      <c r="F1543" s="397" t="s">
        <v>52</v>
      </c>
      <c r="G1543" s="1292" t="s">
        <v>54</v>
      </c>
      <c r="H1543" s="1293"/>
      <c r="I1543" s="1221" t="s">
        <v>179</v>
      </c>
      <c r="J1543" s="1222"/>
      <c r="K1543" s="1209" t="s">
        <v>180</v>
      </c>
      <c r="L1543" s="1210"/>
      <c r="M1543" s="96"/>
      <c r="N1543" s="50"/>
      <c r="O1543" s="5"/>
      <c r="P1543" s="9"/>
      <c r="Q1543" s="34"/>
      <c r="R1543" s="5"/>
      <c r="S1543" s="35"/>
    </row>
    <row r="1544" spans="1:23" ht="30" customHeight="1" x14ac:dyDescent="0.35">
      <c r="A1544" s="186">
        <v>21140</v>
      </c>
      <c r="B1544" s="1264" t="s">
        <v>833</v>
      </c>
      <c r="C1544" s="1264"/>
      <c r="D1544" s="1264"/>
      <c r="E1544" s="646">
        <v>26000</v>
      </c>
      <c r="F1544" s="198">
        <v>229</v>
      </c>
      <c r="G1544" s="186"/>
      <c r="H1544" s="741"/>
      <c r="I1544" s="1332">
        <f>+'FY2024 MILCON Inflation Table'!F10</f>
        <v>1.6540685803452817</v>
      </c>
      <c r="J1544" s="1333"/>
      <c r="K1544" s="199">
        <f>+F1544*I1544</f>
        <v>378.7817048990695</v>
      </c>
      <c r="L1544" s="186" t="s">
        <v>108</v>
      </c>
      <c r="M1544" s="50"/>
      <c r="N1544" s="50"/>
      <c r="O1544" s="5"/>
      <c r="P1544" s="9"/>
      <c r="Q1544" s="34"/>
      <c r="R1544" s="5"/>
      <c r="S1544" s="35"/>
    </row>
    <row r="1545" spans="1:23" ht="30" customHeight="1" thickBot="1" x14ac:dyDescent="0.4">
      <c r="A1545" s="186"/>
      <c r="B1545" s="1264"/>
      <c r="C1545" s="1264"/>
      <c r="D1545" s="1264"/>
      <c r="E1545" s="535"/>
      <c r="F1545" s="536"/>
      <c r="G1545" s="536"/>
      <c r="H1545" s="537"/>
      <c r="I1545" s="503"/>
      <c r="J1545" s="494" t="s">
        <v>37</v>
      </c>
      <c r="K1545" s="190">
        <f>+K1544</f>
        <v>378.7817048990695</v>
      </c>
      <c r="L1545" s="186" t="s">
        <v>108</v>
      </c>
      <c r="M1545" s="96"/>
      <c r="N1545" s="50"/>
      <c r="O1545" s="5"/>
      <c r="P1545" s="9"/>
      <c r="Q1545" s="34"/>
      <c r="R1545" s="5"/>
      <c r="S1545" s="35"/>
    </row>
    <row r="1546" spans="1:23" ht="30" customHeight="1" thickBot="1" x14ac:dyDescent="0.4">
      <c r="A1546" s="1199"/>
      <c r="B1546" s="1200"/>
      <c r="C1546" s="1200"/>
      <c r="D1546" s="1200"/>
      <c r="E1546" s="1200"/>
      <c r="F1546" s="1200"/>
      <c r="G1546" s="1200"/>
      <c r="H1546" s="1200"/>
      <c r="I1546" s="1200"/>
      <c r="J1546" s="1200"/>
      <c r="K1546" s="1200"/>
      <c r="L1546" s="1201"/>
      <c r="M1546" s="50"/>
      <c r="N1546" s="50"/>
      <c r="O1546" s="5"/>
      <c r="P1546" s="9"/>
      <c r="Q1546" s="34"/>
      <c r="R1546" s="5"/>
      <c r="S1546" s="35"/>
    </row>
    <row r="1547" spans="1:23" ht="30" customHeight="1" x14ac:dyDescent="0.35">
      <c r="A1547" s="388" t="s">
        <v>1</v>
      </c>
      <c r="B1547" s="389">
        <v>2115</v>
      </c>
      <c r="C1547" s="1290" t="s">
        <v>834</v>
      </c>
      <c r="D1547" s="1291"/>
      <c r="E1547" s="392" t="s">
        <v>3</v>
      </c>
      <c r="F1547" s="393" t="s">
        <v>108</v>
      </c>
      <c r="G1547" s="390" t="s">
        <v>38</v>
      </c>
      <c r="H1547" s="258">
        <v>250015.91194968499</v>
      </c>
      <c r="I1547" s="392" t="s">
        <v>5</v>
      </c>
      <c r="J1547" s="1304" t="s">
        <v>2861</v>
      </c>
      <c r="K1547" s="1305"/>
      <c r="L1547" s="1306"/>
      <c r="M1547" s="50"/>
      <c r="N1547" s="50"/>
      <c r="O1547" s="5"/>
      <c r="P1547" s="9"/>
      <c r="Q1547" s="34"/>
      <c r="R1547" s="5"/>
      <c r="S1547" s="35"/>
    </row>
    <row r="1548" spans="1:23" ht="30" customHeight="1" x14ac:dyDescent="0.35">
      <c r="A1548" s="185" t="s">
        <v>177</v>
      </c>
      <c r="B1548" s="1272" t="s">
        <v>7</v>
      </c>
      <c r="C1548" s="1272"/>
      <c r="D1548" s="1272"/>
      <c r="E1548" s="492" t="s">
        <v>178</v>
      </c>
      <c r="F1548" s="397" t="s">
        <v>52</v>
      </c>
      <c r="G1548" s="185"/>
      <c r="H1548" s="185"/>
      <c r="I1548" s="1221" t="s">
        <v>179</v>
      </c>
      <c r="J1548" s="1222"/>
      <c r="K1548" s="1209" t="s">
        <v>180</v>
      </c>
      <c r="L1548" s="1210"/>
      <c r="M1548" s="50"/>
      <c r="N1548" s="50"/>
      <c r="O1548" s="539"/>
      <c r="P1548" s="9"/>
      <c r="Q1548" s="34"/>
      <c r="R1548" s="5"/>
      <c r="S1548" s="35"/>
    </row>
    <row r="1549" spans="1:23" ht="30" customHeight="1" x14ac:dyDescent="0.35">
      <c r="A1549" s="401" t="s">
        <v>181</v>
      </c>
      <c r="B1549" s="1265" t="s">
        <v>835</v>
      </c>
      <c r="C1549" s="1265"/>
      <c r="D1549" s="1265"/>
      <c r="E1549" s="531">
        <v>120000</v>
      </c>
      <c r="F1549" s="187">
        <v>490</v>
      </c>
      <c r="G1549" s="532"/>
      <c r="H1549" s="533"/>
      <c r="I1549" s="1217" t="str">
        <f>+$I$310</f>
        <v>NA;  GUCs are as of October 2023</v>
      </c>
      <c r="J1549" s="1218"/>
      <c r="K1549" s="187">
        <f>+F1549</f>
        <v>490</v>
      </c>
      <c r="L1549" s="401" t="s">
        <v>108</v>
      </c>
      <c r="M1549" s="50"/>
      <c r="N1549" s="50"/>
      <c r="O1549" s="5"/>
      <c r="P1549" s="9"/>
      <c r="Q1549" s="34"/>
      <c r="R1549" s="5"/>
      <c r="S1549" s="35"/>
    </row>
    <row r="1550" spans="1:23" ht="60" customHeight="1" thickBot="1" x14ac:dyDescent="0.4">
      <c r="A1550" s="186"/>
      <c r="B1550" s="1264"/>
      <c r="C1550" s="1264"/>
      <c r="D1550" s="1264"/>
      <c r="E1550" s="535"/>
      <c r="F1550" s="536"/>
      <c r="G1550" s="536"/>
      <c r="H1550" s="537"/>
      <c r="I1550" s="503"/>
      <c r="J1550" s="494" t="s">
        <v>37</v>
      </c>
      <c r="K1550" s="193">
        <f>+K1549</f>
        <v>490</v>
      </c>
      <c r="L1550" s="186" t="s">
        <v>108</v>
      </c>
      <c r="M1550" s="96"/>
      <c r="N1550" s="50"/>
      <c r="O1550" s="5"/>
      <c r="P1550" s="9"/>
      <c r="Q1550" s="34"/>
      <c r="R1550" s="5"/>
      <c r="S1550" s="35"/>
    </row>
    <row r="1551" spans="1:23" ht="30" customHeight="1" thickBot="1" x14ac:dyDescent="0.4">
      <c r="A1551" s="1199"/>
      <c r="B1551" s="1200"/>
      <c r="C1551" s="1200"/>
      <c r="D1551" s="1200"/>
      <c r="E1551" s="1200"/>
      <c r="F1551" s="1200"/>
      <c r="G1551" s="1200"/>
      <c r="H1551" s="1200"/>
      <c r="I1551" s="1200"/>
      <c r="J1551" s="1200"/>
      <c r="K1551" s="1200"/>
      <c r="L1551" s="1201"/>
      <c r="M1551" s="50"/>
      <c r="N1551" s="50"/>
      <c r="O1551" s="5"/>
      <c r="P1551" s="9"/>
      <c r="Q1551" s="34"/>
      <c r="R1551" s="5"/>
      <c r="S1551" s="35"/>
    </row>
    <row r="1552" spans="1:23" ht="30" customHeight="1" x14ac:dyDescent="0.35">
      <c r="A1552" s="388" t="s">
        <v>1</v>
      </c>
      <c r="B1552" s="389">
        <v>2116</v>
      </c>
      <c r="C1552" s="1290" t="s">
        <v>836</v>
      </c>
      <c r="D1552" s="1291"/>
      <c r="E1552" s="392" t="s">
        <v>3</v>
      </c>
      <c r="F1552" s="393" t="s">
        <v>108</v>
      </c>
      <c r="G1552" s="390" t="s">
        <v>38</v>
      </c>
      <c r="H1552" s="135">
        <v>25802.538142031299</v>
      </c>
      <c r="I1552" s="392" t="s">
        <v>5</v>
      </c>
      <c r="J1552" s="1207" t="s">
        <v>2470</v>
      </c>
      <c r="K1552" s="1207"/>
      <c r="L1552" s="1208"/>
      <c r="M1552" s="50"/>
      <c r="N1552" s="50"/>
      <c r="O1552" s="5"/>
      <c r="P1552" s="9"/>
      <c r="Q1552" s="34"/>
      <c r="R1552" s="5"/>
      <c r="S1552" s="35"/>
    </row>
    <row r="1553" spans="1:19" ht="30" customHeight="1" x14ac:dyDescent="0.35">
      <c r="A1553" s="185" t="s">
        <v>177</v>
      </c>
      <c r="B1553" s="1272" t="s">
        <v>7</v>
      </c>
      <c r="C1553" s="1272"/>
      <c r="D1553" s="1272"/>
      <c r="E1553" s="492" t="s">
        <v>178</v>
      </c>
      <c r="F1553" s="397" t="s">
        <v>52</v>
      </c>
      <c r="G1553" s="185"/>
      <c r="H1553" s="185"/>
      <c r="I1553" s="1221" t="s">
        <v>56</v>
      </c>
      <c r="J1553" s="1222"/>
      <c r="K1553" s="1209" t="s">
        <v>180</v>
      </c>
      <c r="L1553" s="1210"/>
      <c r="M1553" s="96"/>
      <c r="N1553" s="50"/>
      <c r="O1553" s="5"/>
      <c r="P1553" s="9"/>
      <c r="Q1553" s="34"/>
      <c r="R1553" s="5"/>
      <c r="S1553" s="35"/>
    </row>
    <row r="1554" spans="1:19" ht="30" customHeight="1" x14ac:dyDescent="0.35">
      <c r="A1554" s="401" t="s">
        <v>181</v>
      </c>
      <c r="B1554" s="1265" t="s">
        <v>825</v>
      </c>
      <c r="C1554" s="1265"/>
      <c r="D1554" s="1265"/>
      <c r="E1554" s="531">
        <v>98000</v>
      </c>
      <c r="F1554" s="187">
        <v>474</v>
      </c>
      <c r="G1554" s="532"/>
      <c r="H1554" s="533"/>
      <c r="I1554" s="1217">
        <v>1.0438745311870332</v>
      </c>
      <c r="J1554" s="1218"/>
      <c r="K1554" s="187">
        <f>+F1554*+I1554</f>
        <v>494.79652778265375</v>
      </c>
      <c r="L1554" s="401" t="s">
        <v>108</v>
      </c>
      <c r="M1554" s="50"/>
      <c r="N1554" s="50"/>
      <c r="O1554" s="5"/>
      <c r="P1554" s="9"/>
      <c r="Q1554" s="34"/>
      <c r="R1554" s="5"/>
      <c r="S1554" s="35"/>
    </row>
    <row r="1555" spans="1:19" ht="90" customHeight="1" thickBot="1" x14ac:dyDescent="0.4">
      <c r="A1555" s="186"/>
      <c r="B1555" s="1264"/>
      <c r="C1555" s="1264"/>
      <c r="D1555" s="1264"/>
      <c r="E1555" s="535"/>
      <c r="F1555" s="536"/>
      <c r="G1555" s="536"/>
      <c r="H1555" s="537"/>
      <c r="I1555" s="503"/>
      <c r="J1555" s="494" t="s">
        <v>37</v>
      </c>
      <c r="K1555" s="193">
        <f>+K1554</f>
        <v>494.79652778265375</v>
      </c>
      <c r="L1555" s="186" t="s">
        <v>108</v>
      </c>
      <c r="M1555" s="50"/>
      <c r="N1555" s="50"/>
      <c r="O1555" s="5"/>
      <c r="P1555" s="9"/>
      <c r="Q1555" s="34"/>
      <c r="R1555" s="5"/>
      <c r="S1555" s="35"/>
    </row>
    <row r="1556" spans="1:19" ht="30" customHeight="1" thickBot="1" x14ac:dyDescent="0.4">
      <c r="A1556" s="1199"/>
      <c r="B1556" s="1200"/>
      <c r="C1556" s="1200"/>
      <c r="D1556" s="1200"/>
      <c r="E1556" s="1200"/>
      <c r="F1556" s="1200"/>
      <c r="G1556" s="1200"/>
      <c r="H1556" s="1200"/>
      <c r="I1556" s="1200"/>
      <c r="J1556" s="1200"/>
      <c r="K1556" s="1200"/>
      <c r="L1556" s="1201"/>
      <c r="M1556" s="50"/>
      <c r="N1556" s="50"/>
      <c r="O1556" s="5"/>
      <c r="P1556" s="9"/>
      <c r="Q1556" s="34"/>
      <c r="R1556" s="5"/>
      <c r="S1556" s="35"/>
    </row>
    <row r="1557" spans="1:19" ht="30" customHeight="1" x14ac:dyDescent="0.35">
      <c r="A1557" s="388" t="s">
        <v>1</v>
      </c>
      <c r="B1557" s="389">
        <v>2118</v>
      </c>
      <c r="C1557" s="1290" t="s">
        <v>838</v>
      </c>
      <c r="D1557" s="1291"/>
      <c r="E1557" s="392" t="s">
        <v>3</v>
      </c>
      <c r="F1557" s="393" t="s">
        <v>40</v>
      </c>
      <c r="G1557" s="390" t="s">
        <v>2</v>
      </c>
      <c r="H1557" s="339">
        <v>1</v>
      </c>
      <c r="I1557" s="392" t="s">
        <v>5</v>
      </c>
      <c r="J1557" s="1207" t="s">
        <v>839</v>
      </c>
      <c r="K1557" s="1207"/>
      <c r="L1557" s="1208"/>
      <c r="M1557" s="96"/>
      <c r="O1557" s="5"/>
      <c r="P1557" s="9"/>
      <c r="Q1557" s="34"/>
      <c r="R1557" s="5"/>
      <c r="S1557" s="35"/>
    </row>
    <row r="1558" spans="1:19" ht="75" customHeight="1" x14ac:dyDescent="0.35">
      <c r="A1558" s="185" t="s">
        <v>177</v>
      </c>
      <c r="B1558" s="1272" t="s">
        <v>7</v>
      </c>
      <c r="C1558" s="1272"/>
      <c r="D1558" s="1272"/>
      <c r="E1558" s="397" t="s">
        <v>52</v>
      </c>
      <c r="F1558" s="185" t="s">
        <v>178</v>
      </c>
      <c r="G1558" s="1292" t="s">
        <v>54</v>
      </c>
      <c r="H1558" s="1293"/>
      <c r="I1558" s="1221" t="s">
        <v>179</v>
      </c>
      <c r="J1558" s="1222"/>
      <c r="K1558" s="1209" t="s">
        <v>180</v>
      </c>
      <c r="L1558" s="1210"/>
      <c r="M1558" s="96"/>
      <c r="N1558" s="50"/>
      <c r="O1558" s="5"/>
      <c r="P1558" s="9"/>
      <c r="Q1558" s="34"/>
      <c r="R1558" s="5"/>
      <c r="S1558" s="35"/>
    </row>
    <row r="1559" spans="1:19" ht="30" customHeight="1" x14ac:dyDescent="0.35">
      <c r="A1559" s="186">
        <v>21140</v>
      </c>
      <c r="B1559" s="1202" t="s">
        <v>833</v>
      </c>
      <c r="C1559" s="1203"/>
      <c r="D1559" s="1204"/>
      <c r="E1559" s="194">
        <v>229</v>
      </c>
      <c r="F1559" s="203">
        <v>26000</v>
      </c>
      <c r="G1559" s="690">
        <v>9558</v>
      </c>
      <c r="H1559" s="186" t="s">
        <v>214</v>
      </c>
      <c r="I1559" s="1332">
        <f>+'FY2024 MILCON Inflation Table'!F10</f>
        <v>1.6540685803452817</v>
      </c>
      <c r="J1559" s="1333"/>
      <c r="K1559" s="199">
        <f>+E1559*G1559*I1559</f>
        <v>3620395.5354253063</v>
      </c>
      <c r="L1559" s="401" t="s">
        <v>40</v>
      </c>
      <c r="M1559" s="50"/>
      <c r="N1559" s="50"/>
      <c r="P1559" s="34"/>
      <c r="Q1559" s="5"/>
      <c r="R1559" s="35"/>
    </row>
    <row r="1560" spans="1:19" ht="30" customHeight="1" thickBot="1" x14ac:dyDescent="0.4">
      <c r="A1560" s="186"/>
      <c r="B1560" s="1605" t="s">
        <v>2552</v>
      </c>
      <c r="C1560" s="1606"/>
      <c r="D1560" s="1606"/>
      <c r="E1560" s="520"/>
      <c r="F1560" s="784"/>
      <c r="G1560" s="520"/>
      <c r="H1560" s="750"/>
      <c r="I1560" s="503"/>
      <c r="J1560" s="494" t="s">
        <v>37</v>
      </c>
      <c r="K1560" s="190">
        <f>AVERAGE(K1559:K1559)</f>
        <v>3620395.5354253063</v>
      </c>
      <c r="L1560" s="401" t="s">
        <v>40</v>
      </c>
      <c r="M1560" s="50"/>
      <c r="N1560" s="50"/>
      <c r="P1560" s="34"/>
      <c r="Q1560" s="5"/>
      <c r="R1560" s="35"/>
    </row>
    <row r="1561" spans="1:19" ht="30" customHeight="1" thickBot="1" x14ac:dyDescent="0.4">
      <c r="A1561" s="1199"/>
      <c r="B1561" s="1200"/>
      <c r="C1561" s="1200"/>
      <c r="D1561" s="1200"/>
      <c r="E1561" s="1200"/>
      <c r="F1561" s="1200"/>
      <c r="G1561" s="1200"/>
      <c r="H1561" s="1200"/>
      <c r="I1561" s="1200"/>
      <c r="J1561" s="1200"/>
      <c r="K1561" s="1200"/>
      <c r="L1561" s="1201"/>
      <c r="M1561" s="50"/>
      <c r="N1561" s="50"/>
      <c r="P1561" s="34"/>
      <c r="Q1561" s="5"/>
      <c r="R1561" s="35"/>
    </row>
    <row r="1562" spans="1:19" ht="30" customHeight="1" x14ac:dyDescent="0.35">
      <c r="A1562" s="388" t="s">
        <v>1</v>
      </c>
      <c r="B1562" s="389">
        <v>2121</v>
      </c>
      <c r="C1562" s="1741" t="s">
        <v>840</v>
      </c>
      <c r="D1562" s="1741"/>
      <c r="E1562" s="392" t="s">
        <v>3</v>
      </c>
      <c r="F1562" s="393" t="s">
        <v>108</v>
      </c>
      <c r="G1562" s="689" t="s">
        <v>38</v>
      </c>
      <c r="H1562" s="877">
        <v>8222.5185185185092</v>
      </c>
      <c r="I1562" s="856" t="s">
        <v>5</v>
      </c>
      <c r="J1562" s="1207" t="s">
        <v>2481</v>
      </c>
      <c r="K1562" s="1207"/>
      <c r="L1562" s="1208"/>
      <c r="M1562" s="50"/>
      <c r="N1562" s="50"/>
      <c r="P1562" s="34"/>
      <c r="Q1562" s="5"/>
      <c r="R1562" s="35"/>
    </row>
    <row r="1563" spans="1:19" ht="30" customHeight="1" x14ac:dyDescent="0.35">
      <c r="A1563" s="494" t="s">
        <v>187</v>
      </c>
      <c r="B1563" s="1280" t="s">
        <v>211</v>
      </c>
      <c r="C1563" s="1281"/>
      <c r="D1563" s="1282"/>
      <c r="E1563" s="566" t="s">
        <v>52</v>
      </c>
      <c r="F1563" s="566" t="s">
        <v>53</v>
      </c>
      <c r="G1563" s="1209" t="s">
        <v>54</v>
      </c>
      <c r="H1563" s="1210"/>
      <c r="I1563" s="878" t="s">
        <v>841</v>
      </c>
      <c r="J1563" s="185" t="s">
        <v>188</v>
      </c>
      <c r="K1563" s="1209" t="s">
        <v>180</v>
      </c>
      <c r="L1563" s="1210"/>
      <c r="M1563" s="50"/>
      <c r="N1563" s="50"/>
      <c r="P1563" s="34"/>
      <c r="Q1563" s="5"/>
      <c r="R1563" s="35"/>
    </row>
    <row r="1564" spans="1:19" ht="30" customHeight="1" x14ac:dyDescent="0.35">
      <c r="A1564" s="186" t="s">
        <v>842</v>
      </c>
      <c r="B1564" s="1212" t="s">
        <v>2478</v>
      </c>
      <c r="C1564" s="1213"/>
      <c r="D1564" s="1214"/>
      <c r="E1564" s="194">
        <f>205-3.15</f>
        <v>201.85</v>
      </c>
      <c r="F1564" s="186" t="s">
        <v>108</v>
      </c>
      <c r="G1564" s="707"/>
      <c r="H1564" s="708"/>
      <c r="I1564" s="58">
        <f>+E1564</f>
        <v>201.85</v>
      </c>
      <c r="J1564" s="186">
        <v>1.1299999999999999</v>
      </c>
      <c r="K1564" s="7">
        <f t="shared" ref="K1564:K1573" si="41">+I1564*J1564</f>
        <v>228.09049999999996</v>
      </c>
      <c r="L1564" s="186" t="s">
        <v>108</v>
      </c>
      <c r="M1564" s="50"/>
      <c r="N1564" s="50"/>
      <c r="O1564" s="5"/>
      <c r="P1564" s="9"/>
      <c r="Q1564" s="34"/>
      <c r="R1564" s="5"/>
      <c r="S1564" s="35"/>
    </row>
    <row r="1565" spans="1:19" ht="30" customHeight="1" x14ac:dyDescent="0.35">
      <c r="A1565" s="186" t="s">
        <v>249</v>
      </c>
      <c r="B1565" s="1212" t="s">
        <v>256</v>
      </c>
      <c r="C1565" s="1213"/>
      <c r="D1565" s="1214"/>
      <c r="E1565" s="11">
        <v>5.38</v>
      </c>
      <c r="F1565" s="186" t="s">
        <v>108</v>
      </c>
      <c r="G1565" s="117"/>
      <c r="H1565" s="554"/>
      <c r="I1565" s="141">
        <f>+E1565</f>
        <v>5.38</v>
      </c>
      <c r="J1565" s="186">
        <v>1.1299999999999999</v>
      </c>
      <c r="K1565" s="7">
        <f t="shared" si="41"/>
        <v>6.0793999999999997</v>
      </c>
      <c r="L1565" s="186" t="s">
        <v>108</v>
      </c>
      <c r="M1565" s="50"/>
      <c r="N1565" s="50"/>
      <c r="P1565" s="34"/>
      <c r="Q1565" s="5"/>
      <c r="R1565" s="35"/>
    </row>
    <row r="1566" spans="1:19" ht="30" customHeight="1" x14ac:dyDescent="0.35">
      <c r="A1566" s="186" t="s">
        <v>249</v>
      </c>
      <c r="B1566" s="1212" t="s">
        <v>844</v>
      </c>
      <c r="C1566" s="1213"/>
      <c r="D1566" s="1214"/>
      <c r="E1566" s="193">
        <f>0.15*E1565</f>
        <v>0.80699999999999994</v>
      </c>
      <c r="F1566" s="127" t="s">
        <v>108</v>
      </c>
      <c r="G1566" s="117"/>
      <c r="H1566" s="554"/>
      <c r="I1566" s="141">
        <f>+E1566</f>
        <v>0.80699999999999994</v>
      </c>
      <c r="J1566" s="186">
        <v>1.1299999999999999</v>
      </c>
      <c r="K1566" s="7">
        <f t="shared" si="41"/>
        <v>0.91190999999999989</v>
      </c>
      <c r="L1566" s="186" t="s">
        <v>108</v>
      </c>
      <c r="M1566" s="50"/>
      <c r="N1566" s="50"/>
      <c r="P1566" s="34"/>
      <c r="Q1566" s="5"/>
      <c r="R1566" s="35"/>
    </row>
    <row r="1567" spans="1:19" ht="30" customHeight="1" x14ac:dyDescent="0.35">
      <c r="A1567" s="186" t="s">
        <v>249</v>
      </c>
      <c r="B1567" s="1212" t="s">
        <v>845</v>
      </c>
      <c r="C1567" s="1213"/>
      <c r="D1567" s="1214"/>
      <c r="E1567" s="193">
        <f xml:space="preserve"> 0.72+((1.42+2.11)/2)</f>
        <v>2.4849999999999999</v>
      </c>
      <c r="F1567" s="127" t="s">
        <v>108</v>
      </c>
      <c r="G1567" s="117"/>
      <c r="H1567" s="554"/>
      <c r="I1567" s="141">
        <f>+E1567</f>
        <v>2.4849999999999999</v>
      </c>
      <c r="J1567" s="186">
        <v>1.1299999999999999</v>
      </c>
      <c r="K1567" s="7">
        <f t="shared" si="41"/>
        <v>2.8080499999999997</v>
      </c>
      <c r="L1567" s="186" t="s">
        <v>108</v>
      </c>
      <c r="M1567" s="50"/>
      <c r="N1567" s="96"/>
      <c r="P1567" s="34"/>
      <c r="Q1567" s="5"/>
      <c r="R1567" s="35"/>
    </row>
    <row r="1568" spans="1:19" ht="30" customHeight="1" x14ac:dyDescent="0.35">
      <c r="A1568" s="186" t="s">
        <v>333</v>
      </c>
      <c r="B1568" s="1212" t="s">
        <v>846</v>
      </c>
      <c r="C1568" s="1213"/>
      <c r="D1568" s="1214"/>
      <c r="E1568" s="194">
        <v>204000</v>
      </c>
      <c r="F1568" s="127" t="s">
        <v>40</v>
      </c>
      <c r="G1568" s="117"/>
      <c r="H1568" s="554"/>
      <c r="I1568" s="141">
        <f>+E1568/H1562</f>
        <v>24.809916759756433</v>
      </c>
      <c r="J1568" s="186">
        <v>1.26</v>
      </c>
      <c r="K1568" s="7">
        <f t="shared" si="41"/>
        <v>31.260495117293107</v>
      </c>
      <c r="L1568" s="186" t="s">
        <v>108</v>
      </c>
      <c r="M1568" s="50"/>
      <c r="N1568" s="50"/>
      <c r="O1568" s="5"/>
      <c r="P1568" s="9"/>
      <c r="Q1568" s="34"/>
      <c r="R1568" s="5"/>
      <c r="S1568" s="35"/>
    </row>
    <row r="1569" spans="1:25" ht="30" customHeight="1" x14ac:dyDescent="0.35">
      <c r="A1569" s="186" t="s">
        <v>268</v>
      </c>
      <c r="B1569" s="1267" t="s">
        <v>2479</v>
      </c>
      <c r="C1569" s="1733"/>
      <c r="D1569" s="1733"/>
      <c r="E1569" s="193">
        <v>30.63</v>
      </c>
      <c r="F1569" s="186" t="s">
        <v>849</v>
      </c>
      <c r="G1569" s="558">
        <v>240</v>
      </c>
      <c r="H1569" s="193" t="s">
        <v>850</v>
      </c>
      <c r="I1569" s="141">
        <f>+E1569*G1569/H1562</f>
        <v>0.89403264747216415</v>
      </c>
      <c r="J1569" s="186">
        <v>1.22</v>
      </c>
      <c r="K1569" s="7">
        <f t="shared" si="41"/>
        <v>1.0907198299160403</v>
      </c>
      <c r="L1569" s="186" t="s">
        <v>108</v>
      </c>
      <c r="M1569" s="50"/>
      <c r="N1569" s="50"/>
      <c r="O1569" s="5"/>
      <c r="P1569" s="9"/>
      <c r="Q1569" s="34"/>
      <c r="R1569" s="5"/>
      <c r="S1569" s="35"/>
    </row>
    <row r="1570" spans="1:25" ht="30" customHeight="1" x14ac:dyDescent="0.35">
      <c r="A1570" s="186" t="s">
        <v>268</v>
      </c>
      <c r="B1570" s="1730" t="s">
        <v>851</v>
      </c>
      <c r="C1570" s="1731"/>
      <c r="D1570" s="1732"/>
      <c r="E1570" s="210">
        <v>2435</v>
      </c>
      <c r="F1570" s="186" t="s">
        <v>40</v>
      </c>
      <c r="G1570" s="558">
        <v>2</v>
      </c>
      <c r="H1570" s="193" t="s">
        <v>850</v>
      </c>
      <c r="I1570" s="141">
        <f>+E1570*G1570/H1562</f>
        <v>0.59227595401967559</v>
      </c>
      <c r="J1570" s="186">
        <v>1.22</v>
      </c>
      <c r="K1570" s="7">
        <f t="shared" si="41"/>
        <v>0.72257666390400421</v>
      </c>
      <c r="L1570" s="186" t="s">
        <v>108</v>
      </c>
      <c r="M1570" s="50"/>
      <c r="N1570" s="50"/>
      <c r="P1570" s="34"/>
      <c r="Q1570" s="5"/>
      <c r="R1570" s="35"/>
    </row>
    <row r="1571" spans="1:25" ht="30" customHeight="1" x14ac:dyDescent="0.35">
      <c r="A1571" s="186" t="s">
        <v>271</v>
      </c>
      <c r="B1571" s="1212" t="s">
        <v>2480</v>
      </c>
      <c r="C1571" s="1213"/>
      <c r="D1571" s="1214"/>
      <c r="E1571" s="194">
        <v>72.38</v>
      </c>
      <c r="F1571" s="127" t="s">
        <v>28</v>
      </c>
      <c r="G1571" s="117">
        <v>20</v>
      </c>
      <c r="H1571" s="554" t="s">
        <v>850</v>
      </c>
      <c r="I1571" s="141">
        <f>+E1571*G1571/H1562</f>
        <v>0.17605311520305594</v>
      </c>
      <c r="J1571" s="186">
        <v>1.1200000000000001</v>
      </c>
      <c r="K1571" s="7">
        <f t="shared" si="41"/>
        <v>0.19717948902742269</v>
      </c>
      <c r="L1571" s="186" t="s">
        <v>108</v>
      </c>
      <c r="M1571" s="50"/>
      <c r="N1571" s="50"/>
      <c r="P1571" s="9"/>
    </row>
    <row r="1572" spans="1:25" ht="30" customHeight="1" x14ac:dyDescent="0.35">
      <c r="A1572" s="186" t="s">
        <v>271</v>
      </c>
      <c r="B1572" s="1212" t="s">
        <v>272</v>
      </c>
      <c r="C1572" s="1213"/>
      <c r="D1572" s="1214"/>
      <c r="E1572" s="194">
        <f>+(8000+15300)/2</f>
        <v>11650</v>
      </c>
      <c r="F1572" s="127" t="s">
        <v>40</v>
      </c>
      <c r="G1572" s="117">
        <v>2</v>
      </c>
      <c r="H1572" s="193" t="s">
        <v>850</v>
      </c>
      <c r="I1572" s="141">
        <f>+E1572*G1572/H1562</f>
        <v>2.8336816691290436</v>
      </c>
      <c r="J1572" s="186">
        <v>1.1200000000000001</v>
      </c>
      <c r="K1572" s="7">
        <f t="shared" si="41"/>
        <v>3.1737234694245293</v>
      </c>
      <c r="L1572" s="186" t="s">
        <v>108</v>
      </c>
      <c r="M1572" s="50"/>
      <c r="N1572" s="50"/>
      <c r="P1572" s="9"/>
    </row>
    <row r="1573" spans="1:25" ht="30" customHeight="1" x14ac:dyDescent="0.35">
      <c r="A1573" s="186" t="s">
        <v>271</v>
      </c>
      <c r="B1573" s="1212" t="s">
        <v>853</v>
      </c>
      <c r="C1573" s="1213"/>
      <c r="D1573" s="1214"/>
      <c r="E1573" s="11">
        <f>+(820+1260)/2</f>
        <v>1040</v>
      </c>
      <c r="F1573" s="127" t="s">
        <v>40</v>
      </c>
      <c r="G1573" s="117">
        <v>2</v>
      </c>
      <c r="H1573" s="193" t="s">
        <v>850</v>
      </c>
      <c r="I1573" s="141">
        <f>+E1573*G1573/H1562</f>
        <v>0.25296385715830089</v>
      </c>
      <c r="J1573" s="186">
        <v>1.1200000000000001</v>
      </c>
      <c r="K1573" s="7">
        <f t="shared" si="41"/>
        <v>0.28331952001729704</v>
      </c>
      <c r="L1573" s="186" t="s">
        <v>108</v>
      </c>
      <c r="M1573" s="50"/>
      <c r="N1573" s="50"/>
      <c r="P1573" s="9"/>
    </row>
    <row r="1574" spans="1:25" ht="30" customHeight="1" x14ac:dyDescent="0.35">
      <c r="A1574" s="186"/>
      <c r="B1574" s="1264"/>
      <c r="C1574" s="1264"/>
      <c r="D1574" s="1264"/>
      <c r="E1574" s="194"/>
      <c r="F1574" s="186"/>
      <c r="G1574" s="503"/>
      <c r="H1574" s="534"/>
      <c r="I1574" s="534"/>
      <c r="J1574" s="186" t="s">
        <v>251</v>
      </c>
      <c r="K1574" s="194">
        <f>SUM(K1564:K1573)</f>
        <v>274.61787408958241</v>
      </c>
      <c r="L1574" s="186" t="s">
        <v>108</v>
      </c>
      <c r="M1574" s="50"/>
      <c r="N1574" s="50"/>
      <c r="P1574" s="9"/>
    </row>
    <row r="1575" spans="1:25" ht="45" customHeight="1" x14ac:dyDescent="0.35">
      <c r="A1575" s="186"/>
      <c r="B1575" s="567"/>
      <c r="C1575" s="567"/>
      <c r="D1575" s="567"/>
      <c r="E1575" s="567"/>
      <c r="F1575" s="1736" t="s">
        <v>195</v>
      </c>
      <c r="G1575" s="1273" t="s">
        <v>196</v>
      </c>
      <c r="H1575" s="1273"/>
      <c r="I1575" s="1273"/>
      <c r="J1575" s="1273"/>
      <c r="K1575" s="196">
        <v>1.04</v>
      </c>
      <c r="L1575" s="186"/>
      <c r="M1575" s="50"/>
      <c r="N1575" s="50"/>
      <c r="P1575" s="9"/>
    </row>
    <row r="1576" spans="1:25" ht="30" customHeight="1" x14ac:dyDescent="0.35">
      <c r="A1576" s="186"/>
      <c r="B1576" s="567"/>
      <c r="C1576" s="567"/>
      <c r="D1576" s="567"/>
      <c r="E1576" s="567"/>
      <c r="F1576" s="1736"/>
      <c r="G1576" s="1268" t="s">
        <v>2477</v>
      </c>
      <c r="H1576" s="1268"/>
      <c r="I1576" s="1268"/>
      <c r="J1576" s="1268"/>
      <c r="K1576" s="196">
        <v>1.05</v>
      </c>
      <c r="L1576" s="186"/>
      <c r="M1576" s="50"/>
      <c r="P1576" s="9"/>
    </row>
    <row r="1577" spans="1:25" ht="30" customHeight="1" x14ac:dyDescent="0.35">
      <c r="A1577" s="186"/>
      <c r="B1577" s="186"/>
      <c r="C1577" s="503"/>
      <c r="D1577" s="503"/>
      <c r="E1577" s="503"/>
      <c r="F1577" s="503"/>
      <c r="G1577" s="503"/>
      <c r="H1577" s="503"/>
      <c r="I1577" s="503"/>
      <c r="J1577" s="186" t="s">
        <v>37</v>
      </c>
      <c r="K1577" s="193">
        <f>+K1574*K1575/K1576</f>
        <v>272.00246576491975</v>
      </c>
      <c r="L1577" s="186" t="s">
        <v>108</v>
      </c>
      <c r="M1577" s="50"/>
      <c r="N1577" s="50"/>
      <c r="P1577" s="9"/>
    </row>
    <row r="1578" spans="1:25" ht="30" customHeight="1" x14ac:dyDescent="0.35">
      <c r="A1578" s="186"/>
      <c r="B1578" s="186"/>
      <c r="C1578" s="503"/>
      <c r="D1578" s="503"/>
      <c r="E1578" s="503"/>
      <c r="H1578" s="503"/>
      <c r="I1578" s="538" t="s">
        <v>257</v>
      </c>
      <c r="J1578" s="560">
        <f>VLOOKUP(B1562,'Mil Cost Premiums for PUCs'!$A$4:$R$285,18,FALSE)</f>
        <v>1.1932356231980656</v>
      </c>
      <c r="K1578" s="193">
        <f>+K1577*J1578</f>
        <v>324.56303174841452</v>
      </c>
      <c r="L1578" s="186" t="s">
        <v>108</v>
      </c>
      <c r="M1578" s="50"/>
      <c r="N1578" s="50"/>
    </row>
    <row r="1579" spans="1:25" ht="30" customHeight="1" thickBot="1" x14ac:dyDescent="0.4">
      <c r="A1579" s="186"/>
      <c r="B1579" s="186"/>
      <c r="C1579" s="503"/>
      <c r="D1579" s="503"/>
      <c r="E1579" s="503"/>
      <c r="H1579" s="503"/>
      <c r="I1579" s="538" t="s">
        <v>3000</v>
      </c>
      <c r="J1579" s="560">
        <v>1.0438745311870361</v>
      </c>
      <c r="K1579" s="193">
        <f>+K1578*J1579</f>
        <v>338.80308260701929</v>
      </c>
      <c r="L1579" s="186" t="s">
        <v>108</v>
      </c>
      <c r="M1579" s="50"/>
      <c r="N1579" s="50"/>
      <c r="P1579" s="9"/>
    </row>
    <row r="1580" spans="1:25" ht="30" customHeight="1" thickBot="1" x14ac:dyDescent="0.4">
      <c r="A1580" s="1199"/>
      <c r="B1580" s="1200"/>
      <c r="C1580" s="1200"/>
      <c r="D1580" s="1200"/>
      <c r="E1580" s="1200"/>
      <c r="F1580" s="1200"/>
      <c r="G1580" s="1200"/>
      <c r="H1580" s="1200"/>
      <c r="I1580" s="1200"/>
      <c r="J1580" s="1200"/>
      <c r="K1580" s="1200"/>
      <c r="L1580" s="1201"/>
      <c r="M1580" s="50"/>
      <c r="N1580" s="50"/>
      <c r="P1580" s="9"/>
    </row>
    <row r="1581" spans="1:25" ht="30" customHeight="1" x14ac:dyDescent="0.35">
      <c r="A1581" s="455" t="s">
        <v>1</v>
      </c>
      <c r="B1581" s="439">
        <v>2123</v>
      </c>
      <c r="C1581" s="1657" t="s">
        <v>856</v>
      </c>
      <c r="D1581" s="1657"/>
      <c r="E1581" s="456" t="s">
        <v>3</v>
      </c>
      <c r="F1581" s="457" t="s">
        <v>108</v>
      </c>
      <c r="G1581" s="468" t="s">
        <v>38</v>
      </c>
      <c r="H1581" s="879">
        <v>11147</v>
      </c>
      <c r="I1581" s="456" t="s">
        <v>5</v>
      </c>
      <c r="J1581" s="1207" t="s">
        <v>390</v>
      </c>
      <c r="K1581" s="1207"/>
      <c r="L1581" s="1208"/>
      <c r="M1581" s="50"/>
      <c r="N1581" s="96"/>
      <c r="P1581" s="9"/>
    </row>
    <row r="1582" spans="1:25" ht="30" customHeight="1" x14ac:dyDescent="0.35">
      <c r="A1582" s="494" t="s">
        <v>187</v>
      </c>
      <c r="B1582" s="1280" t="s">
        <v>211</v>
      </c>
      <c r="C1582" s="1281"/>
      <c r="D1582" s="1282"/>
      <c r="E1582" s="566" t="s">
        <v>52</v>
      </c>
      <c r="F1582" s="566" t="s">
        <v>53</v>
      </c>
      <c r="G1582" s="1209" t="s">
        <v>54</v>
      </c>
      <c r="H1582" s="1210"/>
      <c r="I1582" s="878" t="s">
        <v>841</v>
      </c>
      <c r="J1582" s="185" t="s">
        <v>188</v>
      </c>
      <c r="K1582" s="1209" t="s">
        <v>180</v>
      </c>
      <c r="L1582" s="1210"/>
      <c r="M1582" s="50"/>
      <c r="N1582" s="96"/>
      <c r="P1582" s="9"/>
    </row>
    <row r="1583" spans="1:25" ht="30" customHeight="1" x14ac:dyDescent="0.35">
      <c r="A1583" s="186" t="s">
        <v>842</v>
      </c>
      <c r="B1583" s="1212" t="s">
        <v>843</v>
      </c>
      <c r="C1583" s="1213"/>
      <c r="D1583" s="1214"/>
      <c r="E1583" s="194">
        <f>164-2.51</f>
        <v>161.49</v>
      </c>
      <c r="F1583" s="186" t="s">
        <v>108</v>
      </c>
      <c r="G1583" s="707"/>
      <c r="H1583" s="708"/>
      <c r="I1583" s="58">
        <f>+E1583</f>
        <v>161.49</v>
      </c>
      <c r="J1583" s="186">
        <v>1.01</v>
      </c>
      <c r="K1583" s="7">
        <f>+E1583*J1583</f>
        <v>163.10490000000001</v>
      </c>
      <c r="L1583" s="186" t="s">
        <v>108</v>
      </c>
      <c r="M1583" s="50"/>
      <c r="N1583" s="50"/>
      <c r="P1583" s="9"/>
      <c r="X1583" s="396"/>
      <c r="Y1583" s="396"/>
    </row>
    <row r="1584" spans="1:25" s="396" customFormat="1" ht="30" customHeight="1" x14ac:dyDescent="0.35">
      <c r="A1584" s="186" t="s">
        <v>249</v>
      </c>
      <c r="B1584" s="1212" t="s">
        <v>256</v>
      </c>
      <c r="C1584" s="1213"/>
      <c r="D1584" s="1214"/>
      <c r="E1584" s="11">
        <v>4.38</v>
      </c>
      <c r="F1584" s="186" t="s">
        <v>108</v>
      </c>
      <c r="G1584" s="117"/>
      <c r="H1584" s="554"/>
      <c r="I1584" s="141">
        <f>+E1584</f>
        <v>4.38</v>
      </c>
      <c r="J1584" s="186">
        <v>1.01</v>
      </c>
      <c r="K1584" s="7">
        <f>+E1584*J1584</f>
        <v>4.4238</v>
      </c>
      <c r="L1584" s="186" t="s">
        <v>108</v>
      </c>
      <c r="M1584" s="50"/>
      <c r="N1584" s="50"/>
      <c r="O1584" s="9"/>
      <c r="P1584" s="9"/>
      <c r="Q1584" s="9"/>
      <c r="R1584" s="9"/>
      <c r="S1584" s="9"/>
      <c r="T1584" s="9"/>
      <c r="U1584" s="9"/>
      <c r="V1584" s="9"/>
      <c r="W1584" s="9"/>
      <c r="X1584" s="9"/>
      <c r="Y1584" s="9"/>
    </row>
    <row r="1585" spans="1:19" ht="30" customHeight="1" x14ac:dyDescent="0.35">
      <c r="A1585" s="186" t="s">
        <v>249</v>
      </c>
      <c r="B1585" s="1212" t="s">
        <v>844</v>
      </c>
      <c r="C1585" s="1213"/>
      <c r="D1585" s="1214"/>
      <c r="E1585" s="193">
        <f>0.15*E1584</f>
        <v>0.65699999999999992</v>
      </c>
      <c r="F1585" s="127" t="s">
        <v>108</v>
      </c>
      <c r="G1585" s="117"/>
      <c r="H1585" s="554"/>
      <c r="I1585" s="141">
        <f>+E1585</f>
        <v>0.65699999999999992</v>
      </c>
      <c r="J1585" s="186">
        <v>1.01</v>
      </c>
      <c r="K1585" s="7">
        <f>+I1585*J1585</f>
        <v>0.66356999999999988</v>
      </c>
      <c r="L1585" s="186" t="s">
        <v>108</v>
      </c>
      <c r="M1585" s="50"/>
      <c r="N1585" s="50"/>
      <c r="P1585" s="9"/>
    </row>
    <row r="1586" spans="1:19" ht="30" customHeight="1" x14ac:dyDescent="0.35">
      <c r="A1586" s="186" t="s">
        <v>249</v>
      </c>
      <c r="B1586" s="1212" t="s">
        <v>845</v>
      </c>
      <c r="C1586" s="1213"/>
      <c r="D1586" s="1214"/>
      <c r="E1586" s="193">
        <f xml:space="preserve"> 0.58+((1.15+1.71)/2)</f>
        <v>2.0099999999999998</v>
      </c>
      <c r="F1586" s="127" t="s">
        <v>108</v>
      </c>
      <c r="G1586" s="117"/>
      <c r="H1586" s="554"/>
      <c r="I1586" s="141">
        <f>+E1586</f>
        <v>2.0099999999999998</v>
      </c>
      <c r="J1586" s="186">
        <v>1.01</v>
      </c>
      <c r="K1586" s="7">
        <f>+I1586*J1586</f>
        <v>2.0301</v>
      </c>
      <c r="L1586" s="186" t="s">
        <v>108</v>
      </c>
      <c r="M1586" s="50"/>
      <c r="N1586" s="50"/>
      <c r="P1586" s="9"/>
    </row>
    <row r="1587" spans="1:19" ht="30" customHeight="1" x14ac:dyDescent="0.35">
      <c r="A1587" s="186" t="s">
        <v>333</v>
      </c>
      <c r="B1587" s="1212" t="s">
        <v>846</v>
      </c>
      <c r="C1587" s="1213"/>
      <c r="D1587" s="1214"/>
      <c r="E1587" s="194">
        <f>E1568</f>
        <v>204000</v>
      </c>
      <c r="F1587" s="127" t="s">
        <v>40</v>
      </c>
      <c r="G1587" s="117"/>
      <c r="H1587" s="554" t="s">
        <v>847</v>
      </c>
      <c r="I1587" s="141">
        <f>+E1587/H1581</f>
        <v>18.300888131335785</v>
      </c>
      <c r="J1587" s="186">
        <v>1.02</v>
      </c>
      <c r="K1587" s="194">
        <f>+I1587*J1587</f>
        <v>18.6669058939625</v>
      </c>
      <c r="L1587" s="186" t="s">
        <v>108</v>
      </c>
      <c r="M1587" s="50"/>
      <c r="N1587" s="50"/>
      <c r="P1587" s="9"/>
    </row>
    <row r="1588" spans="1:19" ht="30" customHeight="1" x14ac:dyDescent="0.35">
      <c r="A1588" s="186" t="s">
        <v>268</v>
      </c>
      <c r="B1588" s="1267" t="s">
        <v>848</v>
      </c>
      <c r="C1588" s="1733"/>
      <c r="D1588" s="1733"/>
      <c r="E1588" s="193">
        <f>E1569</f>
        <v>30.63</v>
      </c>
      <c r="F1588" s="127" t="s">
        <v>857</v>
      </c>
      <c r="G1588" s="117">
        <f>2*81</f>
        <v>162</v>
      </c>
      <c r="H1588" s="554" t="s">
        <v>108</v>
      </c>
      <c r="I1588" s="141">
        <f>+E1588*G1588/H1581</f>
        <v>0.44514757333811783</v>
      </c>
      <c r="J1588" s="186">
        <v>1.03</v>
      </c>
      <c r="K1588" s="194">
        <f t="shared" ref="K1588:K1593" si="42">+I1588*J1588</f>
        <v>0.4585020005382614</v>
      </c>
      <c r="L1588" s="186" t="s">
        <v>108</v>
      </c>
      <c r="M1588" s="50"/>
      <c r="N1588" s="50"/>
      <c r="O1588" s="5"/>
      <c r="P1588" s="9"/>
      <c r="Q1588" s="34"/>
      <c r="R1588" s="5"/>
      <c r="S1588" s="35"/>
    </row>
    <row r="1589" spans="1:19" ht="30" customHeight="1" x14ac:dyDescent="0.35">
      <c r="A1589" s="186" t="s">
        <v>268</v>
      </c>
      <c r="B1589" s="1730" t="s">
        <v>851</v>
      </c>
      <c r="C1589" s="1731"/>
      <c r="D1589" s="1732"/>
      <c r="E1589" s="210">
        <f>E1570</f>
        <v>2435</v>
      </c>
      <c r="F1589" s="127" t="s">
        <v>40</v>
      </c>
      <c r="G1589" s="117">
        <v>2</v>
      </c>
      <c r="H1589" s="554" t="s">
        <v>40</v>
      </c>
      <c r="I1589" s="141">
        <f>+E1589*G1589/H1581</f>
        <v>0.43688884901767294</v>
      </c>
      <c r="J1589" s="186">
        <v>1.03</v>
      </c>
      <c r="K1589" s="194">
        <f t="shared" si="42"/>
        <v>0.44999551448820313</v>
      </c>
      <c r="L1589" s="186" t="s">
        <v>108</v>
      </c>
      <c r="M1589" s="50"/>
      <c r="N1589" s="50"/>
      <c r="O1589" s="5"/>
      <c r="P1589" s="9"/>
      <c r="Q1589" s="34"/>
      <c r="R1589" s="5"/>
      <c r="S1589" s="35"/>
    </row>
    <row r="1590" spans="1:19" ht="30" customHeight="1" x14ac:dyDescent="0.35">
      <c r="A1590" s="186" t="s">
        <v>271</v>
      </c>
      <c r="B1590" s="1212" t="s">
        <v>858</v>
      </c>
      <c r="C1590" s="1213"/>
      <c r="D1590" s="1214"/>
      <c r="E1590" s="194">
        <f>+(34.5+82)/2</f>
        <v>58.25</v>
      </c>
      <c r="F1590" s="127" t="s">
        <v>28</v>
      </c>
      <c r="G1590" s="117">
        <f>2*10</f>
        <v>20</v>
      </c>
      <c r="H1590" s="554" t="s">
        <v>859</v>
      </c>
      <c r="I1590" s="141">
        <f>+E1590*G1590/H1581</f>
        <v>0.10451242486767741</v>
      </c>
      <c r="J1590" s="186">
        <v>1.03</v>
      </c>
      <c r="K1590" s="194">
        <f t="shared" si="42"/>
        <v>0.10764779761370773</v>
      </c>
      <c r="L1590" s="186" t="s">
        <v>108</v>
      </c>
      <c r="M1590" s="50"/>
      <c r="N1590" s="50"/>
      <c r="O1590" s="5"/>
      <c r="P1590" s="9"/>
      <c r="Q1590" s="34"/>
      <c r="R1590" s="5"/>
      <c r="S1590" s="35"/>
    </row>
    <row r="1591" spans="1:19" ht="30" customHeight="1" x14ac:dyDescent="0.35">
      <c r="A1591" s="186" t="s">
        <v>271</v>
      </c>
      <c r="B1591" s="1212" t="s">
        <v>860</v>
      </c>
      <c r="C1591" s="1213"/>
      <c r="D1591" s="1214"/>
      <c r="E1591" s="194">
        <f>+(6450+12300)/2</f>
        <v>9375</v>
      </c>
      <c r="F1591" s="127" t="s">
        <v>40</v>
      </c>
      <c r="G1591" s="117">
        <v>2</v>
      </c>
      <c r="H1591" s="554" t="s">
        <v>847</v>
      </c>
      <c r="I1591" s="141">
        <f>+E1591*G1591/H1581</f>
        <v>1.6820669238360098</v>
      </c>
      <c r="J1591" s="186">
        <v>1.03</v>
      </c>
      <c r="K1591" s="194">
        <f t="shared" si="42"/>
        <v>1.7325289315510901</v>
      </c>
      <c r="L1591" s="186" t="s">
        <v>108</v>
      </c>
      <c r="M1591" s="50"/>
      <c r="N1591" s="50"/>
      <c r="P1591" s="9"/>
    </row>
    <row r="1592" spans="1:19" ht="30" customHeight="1" x14ac:dyDescent="0.35">
      <c r="A1592" s="186" t="s">
        <v>271</v>
      </c>
      <c r="B1592" s="1212" t="s">
        <v>861</v>
      </c>
      <c r="C1592" s="1213"/>
      <c r="D1592" s="1214"/>
      <c r="E1592" s="11">
        <f>+(660+1010)/2</f>
        <v>835</v>
      </c>
      <c r="F1592" s="127" t="s">
        <v>40</v>
      </c>
      <c r="G1592" s="117">
        <v>2</v>
      </c>
      <c r="H1592" s="554" t="s">
        <v>847</v>
      </c>
      <c r="I1592" s="141">
        <f>+E1592*G1592/H1581</f>
        <v>0.14981609401632726</v>
      </c>
      <c r="J1592" s="186">
        <v>1.05</v>
      </c>
      <c r="K1592" s="194">
        <f t="shared" si="42"/>
        <v>0.15730689871714362</v>
      </c>
      <c r="L1592" s="186" t="s">
        <v>108</v>
      </c>
      <c r="M1592" s="50"/>
      <c r="N1592" s="50"/>
      <c r="P1592" s="9"/>
    </row>
    <row r="1593" spans="1:19" ht="30" customHeight="1" x14ac:dyDescent="0.35">
      <c r="A1593" s="186" t="s">
        <v>271</v>
      </c>
      <c r="B1593" s="1212" t="s">
        <v>862</v>
      </c>
      <c r="C1593" s="1213"/>
      <c r="D1593" s="1214"/>
      <c r="E1593" s="194">
        <f>+(1160+3475)/2</f>
        <v>2317.5</v>
      </c>
      <c r="F1593" s="127" t="s">
        <v>40</v>
      </c>
      <c r="G1593" s="117">
        <v>2</v>
      </c>
      <c r="H1593" s="554" t="s">
        <v>847</v>
      </c>
      <c r="I1593" s="141">
        <f>+E1593*G1593/H1581</f>
        <v>0.41580694357226161</v>
      </c>
      <c r="J1593" s="186">
        <v>1.05</v>
      </c>
      <c r="K1593" s="194">
        <f t="shared" si="42"/>
        <v>0.43659729075087472</v>
      </c>
      <c r="L1593" s="186" t="s">
        <v>108</v>
      </c>
      <c r="M1593" s="50"/>
      <c r="N1593" s="97"/>
      <c r="P1593" s="9"/>
    </row>
    <row r="1594" spans="1:19" ht="30" customHeight="1" x14ac:dyDescent="0.35">
      <c r="A1594" s="186"/>
      <c r="B1594" s="1264"/>
      <c r="C1594" s="1264"/>
      <c r="D1594" s="1264"/>
      <c r="E1594" s="194"/>
      <c r="F1594" s="503"/>
      <c r="G1594" s="534"/>
      <c r="H1594" s="534"/>
      <c r="I1594" s="186"/>
      <c r="J1594" s="186" t="s">
        <v>251</v>
      </c>
      <c r="K1594" s="194">
        <f>SUM(K1583:K1593)</f>
        <v>192.23185432762179</v>
      </c>
      <c r="L1594" s="186" t="s">
        <v>108</v>
      </c>
      <c r="M1594" s="50"/>
      <c r="N1594" s="50"/>
      <c r="P1594" s="9"/>
    </row>
    <row r="1595" spans="1:19" ht="30" customHeight="1" x14ac:dyDescent="0.35">
      <c r="A1595" s="186"/>
      <c r="B1595" s="567"/>
      <c r="C1595" s="567"/>
      <c r="D1595" s="567"/>
      <c r="E1595" s="567"/>
      <c r="F1595" s="1215" t="s">
        <v>195</v>
      </c>
      <c r="G1595" s="1273" t="s">
        <v>196</v>
      </c>
      <c r="H1595" s="1273"/>
      <c r="I1595" s="1273"/>
      <c r="J1595" s="1273"/>
      <c r="K1595" s="196">
        <v>1.08</v>
      </c>
      <c r="L1595" s="186"/>
      <c r="M1595" s="50"/>
      <c r="N1595" s="50"/>
      <c r="P1595" s="9"/>
    </row>
    <row r="1596" spans="1:19" ht="30" customHeight="1" x14ac:dyDescent="0.35">
      <c r="A1596" s="186"/>
      <c r="B1596" s="567"/>
      <c r="C1596" s="567"/>
      <c r="D1596" s="567"/>
      <c r="E1596" s="567"/>
      <c r="F1596" s="1216"/>
      <c r="G1596" s="1268" t="s">
        <v>276</v>
      </c>
      <c r="H1596" s="1268"/>
      <c r="I1596" s="1268"/>
      <c r="J1596" s="1268"/>
      <c r="K1596" s="196">
        <v>1.08</v>
      </c>
      <c r="L1596" s="186"/>
      <c r="M1596" s="50"/>
      <c r="N1596" s="50"/>
      <c r="P1596" s="9"/>
    </row>
    <row r="1597" spans="1:19" ht="45" customHeight="1" x14ac:dyDescent="0.35">
      <c r="A1597" s="186"/>
      <c r="B1597" s="186"/>
      <c r="C1597" s="503"/>
      <c r="D1597" s="503"/>
      <c r="E1597" s="503"/>
      <c r="F1597" s="503"/>
      <c r="G1597" s="503"/>
      <c r="H1597" s="503"/>
      <c r="I1597" s="503"/>
      <c r="J1597" s="186" t="s">
        <v>37</v>
      </c>
      <c r="K1597" s="193">
        <f>+K1594*K1595/K1596</f>
        <v>192.23185432762179</v>
      </c>
      <c r="L1597" s="186" t="s">
        <v>108</v>
      </c>
      <c r="M1597" s="50"/>
      <c r="N1597" s="50"/>
      <c r="P1597" s="9"/>
    </row>
    <row r="1598" spans="1:19" ht="30" customHeight="1" x14ac:dyDescent="0.35">
      <c r="A1598" s="186"/>
      <c r="B1598" s="186"/>
      <c r="C1598" s="503"/>
      <c r="D1598" s="503"/>
      <c r="E1598" s="503"/>
      <c r="F1598" s="880"/>
      <c r="G1598" s="1374" t="s">
        <v>257</v>
      </c>
      <c r="H1598" s="1375"/>
      <c r="I1598" s="1376"/>
      <c r="J1598" s="560">
        <f>VLOOKUP(B1581,'Mil Cost Premiums for PUCs'!$A$4:$R$285,18,FALSE)</f>
        <v>1.1932356231980656</v>
      </c>
      <c r="K1598" s="193">
        <f>+K1597*J1598</f>
        <v>229.37789649713955</v>
      </c>
      <c r="L1598" s="186" t="s">
        <v>108</v>
      </c>
      <c r="M1598" s="50"/>
      <c r="N1598" s="50"/>
      <c r="P1598" s="9"/>
    </row>
    <row r="1599" spans="1:19" ht="30" customHeight="1" x14ac:dyDescent="0.35">
      <c r="A1599" s="186"/>
      <c r="B1599" s="186"/>
      <c r="C1599" s="503"/>
      <c r="D1599" s="503"/>
      <c r="E1599" s="503"/>
      <c r="F1599" s="1491" t="s">
        <v>277</v>
      </c>
      <c r="G1599" s="1413"/>
      <c r="H1599" s="1413"/>
      <c r="I1599" s="1413"/>
      <c r="J1599" s="560">
        <v>1.0833999999999999</v>
      </c>
      <c r="K1599" s="724">
        <f>K1598*J1599</f>
        <v>248.50801306500097</v>
      </c>
      <c r="L1599" s="186" t="s">
        <v>108</v>
      </c>
      <c r="M1599" s="50"/>
      <c r="N1599" s="50"/>
      <c r="P1599" s="9"/>
    </row>
    <row r="1600" spans="1:19" ht="30" customHeight="1" x14ac:dyDescent="0.35">
      <c r="A1600" s="569"/>
      <c r="B1600" s="569"/>
      <c r="C1600" s="510"/>
      <c r="D1600" s="510"/>
      <c r="E1600" s="510"/>
      <c r="F1600" s="510"/>
      <c r="G1600" s="1191" t="s">
        <v>2817</v>
      </c>
      <c r="H1600" s="1192"/>
      <c r="I1600" s="1193"/>
      <c r="J1600" s="570">
        <v>1.1214</v>
      </c>
      <c r="K1600" s="285">
        <f>+K1599*J1600</f>
        <v>278.67688585109209</v>
      </c>
      <c r="L1600" s="186" t="s">
        <v>108</v>
      </c>
      <c r="M1600" s="50"/>
      <c r="N1600" s="50"/>
      <c r="P1600" s="9"/>
    </row>
    <row r="1601" spans="1:25" ht="30" customHeight="1" x14ac:dyDescent="0.35">
      <c r="A1601" s="569"/>
      <c r="B1601" s="569"/>
      <c r="C1601" s="510"/>
      <c r="D1601" s="510"/>
      <c r="E1601" s="510"/>
      <c r="F1601" s="510"/>
      <c r="G1601" s="1191" t="s">
        <v>3000</v>
      </c>
      <c r="H1601" s="1192"/>
      <c r="I1601" s="1193"/>
      <c r="J1601" s="570">
        <v>1.0438745311870361</v>
      </c>
      <c r="K1601" s="285">
        <f>+K1600*J1601</f>
        <v>290.90370357047192</v>
      </c>
      <c r="L1601" s="186" t="s">
        <v>108</v>
      </c>
      <c r="M1601" s="50"/>
      <c r="N1601" s="50"/>
      <c r="P1601" s="9"/>
    </row>
    <row r="1602" spans="1:25" ht="30" customHeight="1" x14ac:dyDescent="0.35">
      <c r="A1602" s="1274" t="s">
        <v>198</v>
      </c>
      <c r="B1602" s="1275"/>
      <c r="C1602" s="1275"/>
      <c r="D1602" s="1275"/>
      <c r="E1602" s="1275"/>
      <c r="F1602" s="1275"/>
      <c r="G1602" s="1275"/>
      <c r="H1602" s="1275"/>
      <c r="I1602" s="1275"/>
      <c r="J1602" s="1275"/>
      <c r="K1602" s="1275"/>
      <c r="L1602" s="1276"/>
      <c r="N1602" s="50"/>
      <c r="P1602" s="9"/>
    </row>
    <row r="1603" spans="1:25" ht="30" customHeight="1" x14ac:dyDescent="0.35">
      <c r="A1603" s="1654" t="s">
        <v>199</v>
      </c>
      <c r="B1603" s="1655"/>
      <c r="C1603" s="1656"/>
      <c r="D1603" s="1274" t="s">
        <v>863</v>
      </c>
      <c r="E1603" s="1275"/>
      <c r="F1603" s="1275"/>
      <c r="G1603" s="1275"/>
      <c r="H1603" s="1275"/>
      <c r="I1603" s="1275"/>
      <c r="J1603" s="1275"/>
      <c r="K1603" s="1275"/>
      <c r="L1603" s="1276"/>
      <c r="M1603" s="50"/>
      <c r="N1603" s="50"/>
      <c r="P1603" s="9"/>
    </row>
    <row r="1604" spans="1:25" ht="30" customHeight="1" x14ac:dyDescent="0.35">
      <c r="A1604" s="1654" t="s">
        <v>200</v>
      </c>
      <c r="B1604" s="1655"/>
      <c r="C1604" s="1656"/>
      <c r="D1604" s="1274" t="s">
        <v>864</v>
      </c>
      <c r="E1604" s="1275"/>
      <c r="F1604" s="1275"/>
      <c r="G1604" s="1275"/>
      <c r="H1604" s="1275"/>
      <c r="I1604" s="1275"/>
      <c r="J1604" s="1275"/>
      <c r="K1604" s="1275"/>
      <c r="L1604" s="1276"/>
      <c r="M1604" s="50"/>
      <c r="N1604" s="50"/>
      <c r="P1604" s="9"/>
    </row>
    <row r="1605" spans="1:25" ht="30" customHeight="1" x14ac:dyDescent="0.35">
      <c r="A1605" s="1654" t="s">
        <v>201</v>
      </c>
      <c r="B1605" s="1655"/>
      <c r="C1605" s="1656"/>
      <c r="D1605" s="1274" t="s">
        <v>865</v>
      </c>
      <c r="E1605" s="1275"/>
      <c r="F1605" s="1275"/>
      <c r="G1605" s="1275"/>
      <c r="H1605" s="1275"/>
      <c r="I1605" s="1275"/>
      <c r="J1605" s="1275"/>
      <c r="K1605" s="1275"/>
      <c r="L1605" s="1276"/>
      <c r="M1605" s="50"/>
      <c r="N1605" s="50"/>
      <c r="P1605" s="9"/>
    </row>
    <row r="1606" spans="1:25" ht="30" customHeight="1" x14ac:dyDescent="0.35">
      <c r="A1606" s="1654" t="s">
        <v>202</v>
      </c>
      <c r="B1606" s="1655"/>
      <c r="C1606" s="1656"/>
      <c r="D1606" s="1274" t="s">
        <v>866</v>
      </c>
      <c r="E1606" s="1275"/>
      <c r="F1606" s="1275"/>
      <c r="G1606" s="1275"/>
      <c r="H1606" s="1275"/>
      <c r="I1606" s="1275"/>
      <c r="J1606" s="1275"/>
      <c r="K1606" s="1275"/>
      <c r="L1606" s="1276"/>
      <c r="M1606" s="50"/>
      <c r="N1606" s="50"/>
      <c r="P1606" s="9"/>
    </row>
    <row r="1607" spans="1:25" ht="30" customHeight="1" x14ac:dyDescent="0.35">
      <c r="A1607" s="1654" t="s">
        <v>203</v>
      </c>
      <c r="B1607" s="1655"/>
      <c r="C1607" s="1656"/>
      <c r="D1607" s="1274" t="s">
        <v>867</v>
      </c>
      <c r="E1607" s="1275"/>
      <c r="F1607" s="1275"/>
      <c r="G1607" s="1275"/>
      <c r="H1607" s="1275"/>
      <c r="I1607" s="1275"/>
      <c r="J1607" s="1275"/>
      <c r="K1607" s="1275"/>
      <c r="L1607" s="1276"/>
      <c r="M1607" s="50"/>
      <c r="N1607" s="96"/>
      <c r="O1607" s="5"/>
      <c r="P1607" s="9"/>
      <c r="Q1607" s="34"/>
      <c r="R1607" s="5"/>
      <c r="S1607" s="35"/>
    </row>
    <row r="1608" spans="1:25" ht="30" customHeight="1" x14ac:dyDescent="0.35">
      <c r="A1608" s="1654" t="s">
        <v>205</v>
      </c>
      <c r="B1608" s="1655"/>
      <c r="C1608" s="1656"/>
      <c r="D1608" s="1274" t="s">
        <v>854</v>
      </c>
      <c r="E1608" s="1275"/>
      <c r="F1608" s="1275"/>
      <c r="G1608" s="1275"/>
      <c r="H1608" s="1275"/>
      <c r="I1608" s="1275"/>
      <c r="J1608" s="1275"/>
      <c r="K1608" s="1275"/>
      <c r="L1608" s="1276"/>
      <c r="M1608" s="50"/>
      <c r="N1608" s="50"/>
      <c r="P1608" s="9"/>
    </row>
    <row r="1609" spans="1:25" ht="30" customHeight="1" x14ac:dyDescent="0.35">
      <c r="A1609" s="1654" t="s">
        <v>207</v>
      </c>
      <c r="B1609" s="1655"/>
      <c r="C1609" s="1656"/>
      <c r="D1609" s="1274" t="s">
        <v>781</v>
      </c>
      <c r="E1609" s="1275"/>
      <c r="F1609" s="1275"/>
      <c r="G1609" s="1275"/>
      <c r="H1609" s="1275"/>
      <c r="I1609" s="1275"/>
      <c r="J1609" s="1275"/>
      <c r="K1609" s="1275"/>
      <c r="L1609" s="1276"/>
      <c r="M1609" s="50"/>
      <c r="N1609" s="50"/>
      <c r="P1609" s="9"/>
    </row>
    <row r="1610" spans="1:25" ht="30" customHeight="1" x14ac:dyDescent="0.35">
      <c r="A1610" s="1654" t="s">
        <v>367</v>
      </c>
      <c r="B1610" s="1655"/>
      <c r="C1610" s="1656"/>
      <c r="D1610" s="1545" t="s">
        <v>829</v>
      </c>
      <c r="E1610" s="1546"/>
      <c r="F1610" s="1546"/>
      <c r="G1610" s="1546"/>
      <c r="H1610" s="1546"/>
      <c r="I1610" s="1546"/>
      <c r="J1610" s="1546"/>
      <c r="K1610" s="1546"/>
      <c r="L1610" s="1547"/>
      <c r="M1610" s="50"/>
      <c r="N1610" s="50"/>
      <c r="P1610" s="9"/>
    </row>
    <row r="1611" spans="1:25" ht="30" customHeight="1" thickBot="1" x14ac:dyDescent="0.4">
      <c r="A1611" s="1534" t="s">
        <v>224</v>
      </c>
      <c r="B1611" s="1535"/>
      <c r="C1611" s="1536"/>
      <c r="D1611" s="1553" t="s">
        <v>855</v>
      </c>
      <c r="E1611" s="1554"/>
      <c r="F1611" s="1554"/>
      <c r="G1611" s="1554"/>
      <c r="H1611" s="1554"/>
      <c r="I1611" s="1554"/>
      <c r="J1611" s="1554"/>
      <c r="K1611" s="1554"/>
      <c r="L1611" s="1555"/>
      <c r="M1611" s="50"/>
      <c r="N1611" s="50"/>
      <c r="T1611" s="10"/>
      <c r="U1611" s="10"/>
    </row>
    <row r="1612" spans="1:25" ht="30" customHeight="1" thickBot="1" x14ac:dyDescent="0.4">
      <c r="A1612" s="1199"/>
      <c r="B1612" s="1200"/>
      <c r="C1612" s="1200"/>
      <c r="D1612" s="1200"/>
      <c r="E1612" s="1200"/>
      <c r="F1612" s="1200"/>
      <c r="G1612" s="1200"/>
      <c r="H1612" s="1200"/>
      <c r="I1612" s="1200"/>
      <c r="J1612" s="1200"/>
      <c r="K1612" s="1200"/>
      <c r="L1612" s="1201"/>
      <c r="M1612" s="50"/>
      <c r="N1612" s="50"/>
      <c r="T1612" s="10"/>
      <c r="U1612" s="10"/>
    </row>
    <row r="1613" spans="1:25" ht="30" customHeight="1" x14ac:dyDescent="0.35">
      <c r="A1613" s="388" t="s">
        <v>1</v>
      </c>
      <c r="B1613" s="389">
        <v>2124</v>
      </c>
      <c r="C1613" s="1205" t="s">
        <v>868</v>
      </c>
      <c r="D1613" s="1206"/>
      <c r="E1613" s="392" t="s">
        <v>3</v>
      </c>
      <c r="F1613" s="393" t="s">
        <v>40</v>
      </c>
      <c r="G1613" s="520" t="s">
        <v>869</v>
      </c>
      <c r="H1613" s="660">
        <v>14400</v>
      </c>
      <c r="I1613" s="392" t="s">
        <v>5</v>
      </c>
      <c r="J1613" s="1207" t="s">
        <v>2481</v>
      </c>
      <c r="K1613" s="1207"/>
      <c r="L1613" s="1208"/>
      <c r="M1613" s="50"/>
      <c r="N1613" s="50"/>
      <c r="O1613" s="572"/>
      <c r="P1613" s="384"/>
      <c r="Q1613" s="396"/>
      <c r="R1613" s="396"/>
      <c r="S1613" s="396"/>
      <c r="T1613" s="396"/>
      <c r="U1613" s="396"/>
      <c r="V1613" s="396"/>
      <c r="W1613" s="396"/>
    </row>
    <row r="1614" spans="1:25" ht="60" customHeight="1" x14ac:dyDescent="0.35">
      <c r="A1614" s="494" t="s">
        <v>187</v>
      </c>
      <c r="B1614" s="1280" t="s">
        <v>211</v>
      </c>
      <c r="C1614" s="1281"/>
      <c r="D1614" s="1282"/>
      <c r="E1614" s="566" t="s">
        <v>52</v>
      </c>
      <c r="F1614" s="566" t="s">
        <v>53</v>
      </c>
      <c r="G1614" s="1219" t="s">
        <v>54</v>
      </c>
      <c r="H1614" s="1220"/>
      <c r="I1614" s="185" t="s">
        <v>188</v>
      </c>
      <c r="J1614" s="185"/>
      <c r="K1614" s="1209" t="s">
        <v>180</v>
      </c>
      <c r="L1614" s="1210"/>
      <c r="M1614" s="50"/>
      <c r="N1614" s="50"/>
    </row>
    <row r="1615" spans="1:25" ht="30" customHeight="1" x14ac:dyDescent="0.35">
      <c r="A1615" s="186" t="s">
        <v>189</v>
      </c>
      <c r="B1615" s="1202" t="s">
        <v>870</v>
      </c>
      <c r="C1615" s="1203"/>
      <c r="D1615" s="1204"/>
      <c r="E1615" s="194">
        <v>90000</v>
      </c>
      <c r="F1615" s="186" t="s">
        <v>40</v>
      </c>
      <c r="G1615" s="707"/>
      <c r="H1615" s="708"/>
      <c r="I1615" s="882">
        <v>1.1100000000000001</v>
      </c>
      <c r="J1615" s="882"/>
      <c r="K1615" s="7">
        <f>+E1615*I1615</f>
        <v>99900.000000000015</v>
      </c>
      <c r="L1615" s="422" t="s">
        <v>40</v>
      </c>
      <c r="M1615" s="50"/>
      <c r="N1615" s="50"/>
      <c r="O1615" s="14"/>
      <c r="X1615" s="396"/>
      <c r="Y1615" s="396"/>
    </row>
    <row r="1616" spans="1:25" s="396" customFormat="1" ht="30" customHeight="1" x14ac:dyDescent="0.35">
      <c r="A1616" s="186" t="s">
        <v>465</v>
      </c>
      <c r="B1616" s="1202" t="s">
        <v>871</v>
      </c>
      <c r="C1616" s="1203"/>
      <c r="D1616" s="1204"/>
      <c r="E1616" s="7">
        <f>+((5.87+8.77)/2)+(8*(0.53+0.77)/2)+((0.61+3.1)/2)</f>
        <v>14.375</v>
      </c>
      <c r="F1616" s="422" t="s">
        <v>108</v>
      </c>
      <c r="G1616" s="772">
        <f>+H1613</f>
        <v>14400</v>
      </c>
      <c r="H1616" s="708" t="s">
        <v>214</v>
      </c>
      <c r="I1616" s="204">
        <v>1.1100000000000001</v>
      </c>
      <c r="J1616" s="204"/>
      <c r="K1616" s="733">
        <f>+E1616*G1616*I1616</f>
        <v>229770.00000000003</v>
      </c>
      <c r="L1616" s="422" t="s">
        <v>40</v>
      </c>
      <c r="M1616" s="50"/>
      <c r="N1616" s="50"/>
      <c r="O1616" s="5"/>
      <c r="P1616" s="9"/>
      <c r="Q1616" s="34"/>
      <c r="R1616" s="5"/>
      <c r="S1616" s="35"/>
      <c r="T1616" s="9"/>
      <c r="U1616" s="9"/>
      <c r="V1616" s="9"/>
      <c r="W1616" s="9"/>
      <c r="X1616" s="9"/>
      <c r="Y1616" s="9"/>
    </row>
    <row r="1617" spans="1:25" ht="30" customHeight="1" x14ac:dyDescent="0.35">
      <c r="A1617" s="186" t="s">
        <v>333</v>
      </c>
      <c r="B1617" s="1202" t="s">
        <v>872</v>
      </c>
      <c r="C1617" s="1203"/>
      <c r="D1617" s="1204"/>
      <c r="E1617" s="194">
        <v>144</v>
      </c>
      <c r="F1617" s="186" t="s">
        <v>28</v>
      </c>
      <c r="G1617" s="883">
        <v>100</v>
      </c>
      <c r="H1617" s="708" t="s">
        <v>336</v>
      </c>
      <c r="I1617" s="186">
        <v>1.26</v>
      </c>
      <c r="J1617" s="204"/>
      <c r="K1617" s="7">
        <f>+E1617*G1617*I1617</f>
        <v>18144</v>
      </c>
      <c r="L1617" s="422" t="s">
        <v>40</v>
      </c>
      <c r="M1617" s="50"/>
      <c r="N1617" s="50"/>
      <c r="O1617" s="5"/>
      <c r="P1617" s="9"/>
      <c r="Q1617" s="34"/>
      <c r="R1617" s="5"/>
      <c r="S1617" s="35"/>
    </row>
    <row r="1618" spans="1:25" ht="30" customHeight="1" x14ac:dyDescent="0.35">
      <c r="A1618" s="186" t="s">
        <v>333</v>
      </c>
      <c r="B1618" s="1202" t="s">
        <v>873</v>
      </c>
      <c r="C1618" s="1203"/>
      <c r="D1618" s="1204"/>
      <c r="E1618" s="194">
        <v>3525</v>
      </c>
      <c r="F1618" s="186" t="s">
        <v>40</v>
      </c>
      <c r="G1618" s="707"/>
      <c r="H1618" s="708"/>
      <c r="I1618" s="186">
        <v>1.26</v>
      </c>
      <c r="J1618" s="204"/>
      <c r="K1618" s="7">
        <f>+E1618*I1618</f>
        <v>4441.5</v>
      </c>
      <c r="L1618" s="422" t="s">
        <v>40</v>
      </c>
      <c r="M1618" s="50"/>
      <c r="N1618" s="50"/>
      <c r="P1618" s="34"/>
      <c r="Q1618" s="5"/>
      <c r="R1618" s="35"/>
    </row>
    <row r="1619" spans="1:25" ht="90" customHeight="1" x14ac:dyDescent="0.35">
      <c r="A1619" s="186"/>
      <c r="B1619" s="567"/>
      <c r="C1619" s="567"/>
      <c r="D1619" s="567"/>
      <c r="E1619" s="193"/>
      <c r="F1619" s="186"/>
      <c r="G1619" s="503"/>
      <c r="H1619" s="534"/>
      <c r="I1619" s="186"/>
      <c r="J1619" s="186" t="s">
        <v>223</v>
      </c>
      <c r="K1619" s="194">
        <f>SUM(K1615:K1618)</f>
        <v>352255.50000000006</v>
      </c>
      <c r="L1619" s="186" t="s">
        <v>40</v>
      </c>
      <c r="M1619" s="50"/>
      <c r="N1619" s="50"/>
      <c r="O1619" s="10"/>
      <c r="P1619" s="9"/>
      <c r="Q1619" s="34"/>
      <c r="R1619" s="5"/>
      <c r="S1619" s="35"/>
    </row>
    <row r="1620" spans="1:25" ht="30" customHeight="1" x14ac:dyDescent="0.35">
      <c r="A1620" s="186"/>
      <c r="B1620" s="567"/>
      <c r="C1620" s="567"/>
      <c r="D1620" s="567"/>
      <c r="E1620" s="194"/>
      <c r="F1620" s="1215" t="s">
        <v>195</v>
      </c>
      <c r="G1620" s="1273" t="s">
        <v>196</v>
      </c>
      <c r="H1620" s="1273"/>
      <c r="I1620" s="1273"/>
      <c r="J1620" s="1273"/>
      <c r="K1620" s="196">
        <v>1.06</v>
      </c>
      <c r="L1620" s="186"/>
      <c r="M1620" s="50"/>
      <c r="N1620" s="50"/>
      <c r="O1620" s="5"/>
      <c r="P1620" s="9"/>
      <c r="Q1620" s="34"/>
      <c r="R1620" s="5"/>
      <c r="S1620" s="35"/>
      <c r="X1620" s="396"/>
      <c r="Y1620" s="396"/>
    </row>
    <row r="1621" spans="1:25" s="396" customFormat="1" ht="30" customHeight="1" x14ac:dyDescent="0.35">
      <c r="A1621" s="186"/>
      <c r="B1621" s="567"/>
      <c r="C1621" s="567"/>
      <c r="D1621" s="567"/>
      <c r="E1621" s="194"/>
      <c r="F1621" s="1216"/>
      <c r="G1621" s="1268" t="s">
        <v>2477</v>
      </c>
      <c r="H1621" s="1268"/>
      <c r="I1621" s="1268"/>
      <c r="J1621" s="1268"/>
      <c r="K1621" s="196">
        <v>1.05</v>
      </c>
      <c r="L1621" s="186"/>
      <c r="M1621" s="50"/>
      <c r="N1621" s="50"/>
      <c r="O1621" s="5"/>
      <c r="P1621" s="9"/>
      <c r="Q1621" s="34"/>
      <c r="R1621" s="5"/>
      <c r="S1621" s="35"/>
      <c r="T1621" s="9"/>
      <c r="U1621" s="9"/>
      <c r="V1621" s="9"/>
      <c r="W1621" s="9"/>
      <c r="X1621" s="9"/>
      <c r="Y1621" s="9"/>
    </row>
    <row r="1622" spans="1:25" ht="30" customHeight="1" x14ac:dyDescent="0.35">
      <c r="A1622" s="186"/>
      <c r="B1622" s="186"/>
      <c r="C1622" s="503"/>
      <c r="D1622" s="503"/>
      <c r="E1622" s="503"/>
      <c r="F1622" s="503"/>
      <c r="G1622" s="503"/>
      <c r="H1622" s="503"/>
      <c r="I1622" s="503"/>
      <c r="J1622" s="503" t="s">
        <v>37</v>
      </c>
      <c r="K1622" s="193">
        <f>+K1619*K1620/K1621</f>
        <v>355610.31428571435</v>
      </c>
      <c r="L1622" s="186" t="s">
        <v>40</v>
      </c>
      <c r="M1622" s="50"/>
      <c r="N1622" s="50"/>
    </row>
    <row r="1623" spans="1:25" ht="30" customHeight="1" x14ac:dyDescent="0.35">
      <c r="A1623" s="186"/>
      <c r="B1623" s="1264"/>
      <c r="C1623" s="1264"/>
      <c r="D1623" s="1264"/>
      <c r="E1623" s="503"/>
      <c r="F1623" s="503"/>
      <c r="G1623" s="1198" t="s">
        <v>257</v>
      </c>
      <c r="H1623" s="1198"/>
      <c r="I1623" s="1198"/>
      <c r="J1623" s="560">
        <f>VLOOKUP(B1613,'Mil Cost Premiums for PUCs'!$A$4:$R$285,18,FALSE)</f>
        <v>1.1233553701921195</v>
      </c>
      <c r="K1623" s="193">
        <f>+K1622*J1623</f>
        <v>399476.75624856463</v>
      </c>
      <c r="L1623" s="186" t="s">
        <v>40</v>
      </c>
      <c r="M1623" s="50"/>
      <c r="N1623" s="50"/>
      <c r="P1623" s="34"/>
      <c r="Q1623" s="5"/>
      <c r="R1623" s="35"/>
    </row>
    <row r="1624" spans="1:25" ht="30" customHeight="1" thickBot="1" x14ac:dyDescent="0.4">
      <c r="A1624" s="186"/>
      <c r="B1624" s="1264"/>
      <c r="C1624" s="1264"/>
      <c r="D1624" s="1264"/>
      <c r="E1624" s="503"/>
      <c r="F1624" s="503"/>
      <c r="G1624" s="1309" t="s">
        <v>3000</v>
      </c>
      <c r="H1624" s="1310"/>
      <c r="I1624" s="1311"/>
      <c r="J1624" s="560">
        <v>1.0438745311870361</v>
      </c>
      <c r="K1624" s="193">
        <f>+K1623*J1624</f>
        <v>417003.61164908833</v>
      </c>
      <c r="L1624" s="186" t="s">
        <v>40</v>
      </c>
      <c r="M1624" s="50"/>
      <c r="N1624" s="50"/>
      <c r="P1624" s="34"/>
      <c r="Q1624" s="5"/>
      <c r="R1624" s="35"/>
    </row>
    <row r="1625" spans="1:25" ht="30" customHeight="1" thickBot="1" x14ac:dyDescent="0.4">
      <c r="A1625" s="1199"/>
      <c r="B1625" s="1200"/>
      <c r="C1625" s="1200"/>
      <c r="D1625" s="1200"/>
      <c r="E1625" s="1200"/>
      <c r="F1625" s="1200"/>
      <c r="G1625" s="1200"/>
      <c r="H1625" s="1200"/>
      <c r="I1625" s="1200"/>
      <c r="J1625" s="1200"/>
      <c r="K1625" s="1200"/>
      <c r="L1625" s="1201"/>
      <c r="N1625" s="50"/>
      <c r="P1625" s="34"/>
      <c r="Q1625" s="5"/>
      <c r="R1625" s="35"/>
      <c r="X1625" s="396"/>
      <c r="Y1625" s="396"/>
    </row>
    <row r="1626" spans="1:25" s="396" customFormat="1" ht="30" customHeight="1" x14ac:dyDescent="0.35">
      <c r="A1626" s="455" t="s">
        <v>1</v>
      </c>
      <c r="B1626" s="439">
        <v>2125</v>
      </c>
      <c r="C1626" s="1657" t="s">
        <v>874</v>
      </c>
      <c r="D1626" s="1657"/>
      <c r="E1626" s="456" t="s">
        <v>3</v>
      </c>
      <c r="F1626" s="457" t="s">
        <v>108</v>
      </c>
      <c r="G1626" s="468" t="s">
        <v>38</v>
      </c>
      <c r="H1626" s="879">
        <v>33011</v>
      </c>
      <c r="I1626" s="456" t="s">
        <v>5</v>
      </c>
      <c r="J1626" s="1207" t="s">
        <v>390</v>
      </c>
      <c r="K1626" s="1207"/>
      <c r="L1626" s="1208"/>
      <c r="M1626" s="50"/>
      <c r="N1626" s="50"/>
      <c r="O1626" s="9"/>
      <c r="P1626" s="34"/>
      <c r="Q1626" s="5"/>
      <c r="R1626" s="35"/>
      <c r="S1626" s="9"/>
      <c r="T1626" s="9"/>
      <c r="U1626" s="9"/>
      <c r="V1626" s="9"/>
      <c r="W1626" s="9"/>
      <c r="X1626" s="9"/>
      <c r="Y1626" s="9"/>
    </row>
    <row r="1627" spans="1:25" ht="30" customHeight="1" x14ac:dyDescent="0.35">
      <c r="A1627" s="494" t="s">
        <v>187</v>
      </c>
      <c r="B1627" s="1280" t="s">
        <v>211</v>
      </c>
      <c r="C1627" s="1281"/>
      <c r="D1627" s="1282"/>
      <c r="E1627" s="566" t="s">
        <v>52</v>
      </c>
      <c r="F1627" s="566" t="s">
        <v>53</v>
      </c>
      <c r="G1627" s="1209" t="s">
        <v>54</v>
      </c>
      <c r="H1627" s="1210"/>
      <c r="I1627" s="796" t="s">
        <v>841</v>
      </c>
      <c r="J1627" s="185" t="s">
        <v>188</v>
      </c>
      <c r="K1627" s="1209" t="s">
        <v>180</v>
      </c>
      <c r="L1627" s="1210"/>
      <c r="M1627" s="50"/>
      <c r="N1627" s="50"/>
      <c r="P1627" s="34"/>
      <c r="Q1627" s="5"/>
      <c r="R1627" s="35"/>
    </row>
    <row r="1628" spans="1:25" ht="30" customHeight="1" x14ac:dyDescent="0.35">
      <c r="A1628" s="186" t="s">
        <v>842</v>
      </c>
      <c r="B1628" s="1212" t="s">
        <v>875</v>
      </c>
      <c r="C1628" s="1213"/>
      <c r="D1628" s="1214"/>
      <c r="E1628" s="194">
        <f>164-2.51</f>
        <v>161.49</v>
      </c>
      <c r="F1628" s="186" t="s">
        <v>108</v>
      </c>
      <c r="G1628" s="707"/>
      <c r="H1628" s="708"/>
      <c r="I1628" s="58">
        <f>+E1628</f>
        <v>161.49</v>
      </c>
      <c r="J1628" s="186">
        <v>1.01</v>
      </c>
      <c r="K1628" s="7">
        <f t="shared" ref="K1628:K1638" si="43">+I1628*J1628</f>
        <v>163.10490000000001</v>
      </c>
      <c r="L1628" s="186" t="s">
        <v>108</v>
      </c>
      <c r="M1628" s="50"/>
      <c r="N1628" s="50"/>
      <c r="P1628" s="34"/>
      <c r="Q1628" s="5"/>
      <c r="R1628" s="35"/>
    </row>
    <row r="1629" spans="1:25" ht="30" customHeight="1" x14ac:dyDescent="0.35">
      <c r="A1629" s="186" t="s">
        <v>249</v>
      </c>
      <c r="B1629" s="1212" t="s">
        <v>876</v>
      </c>
      <c r="C1629" s="1213"/>
      <c r="D1629" s="1214"/>
      <c r="E1629" s="11">
        <v>3.61</v>
      </c>
      <c r="F1629" s="186" t="s">
        <v>108</v>
      </c>
      <c r="G1629" s="117"/>
      <c r="H1629" s="554"/>
      <c r="I1629" s="141">
        <f>+E1629</f>
        <v>3.61</v>
      </c>
      <c r="J1629" s="186">
        <v>1.01</v>
      </c>
      <c r="K1629" s="7">
        <f t="shared" si="43"/>
        <v>3.6461000000000001</v>
      </c>
      <c r="L1629" s="186" t="s">
        <v>108</v>
      </c>
      <c r="M1629" s="50"/>
      <c r="N1629" s="50"/>
      <c r="O1629" s="5"/>
      <c r="P1629" s="9"/>
      <c r="Q1629" s="34"/>
      <c r="R1629" s="5"/>
      <c r="S1629" s="35"/>
    </row>
    <row r="1630" spans="1:25" ht="30" customHeight="1" x14ac:dyDescent="0.35">
      <c r="A1630" s="186" t="s">
        <v>249</v>
      </c>
      <c r="B1630" s="1212" t="s">
        <v>844</v>
      </c>
      <c r="C1630" s="1213"/>
      <c r="D1630" s="1214"/>
      <c r="E1630" s="193">
        <f>0.15*E1629</f>
        <v>0.54149999999999998</v>
      </c>
      <c r="F1630" s="127" t="s">
        <v>108</v>
      </c>
      <c r="G1630" s="117"/>
      <c r="H1630" s="554"/>
      <c r="I1630" s="141">
        <f>E1630</f>
        <v>0.54149999999999998</v>
      </c>
      <c r="J1630" s="186">
        <v>1.01</v>
      </c>
      <c r="K1630" s="194">
        <f t="shared" si="43"/>
        <v>0.54691500000000004</v>
      </c>
      <c r="L1630" s="186" t="s">
        <v>108</v>
      </c>
      <c r="M1630" s="50"/>
      <c r="N1630" s="50"/>
      <c r="O1630" s="5"/>
      <c r="P1630" s="9"/>
      <c r="Q1630" s="34"/>
      <c r="R1630" s="5"/>
      <c r="S1630" s="35"/>
      <c r="X1630" s="396"/>
      <c r="Y1630" s="396"/>
    </row>
    <row r="1631" spans="1:25" s="396" customFormat="1" ht="30" customHeight="1" x14ac:dyDescent="0.35">
      <c r="A1631" s="186" t="s">
        <v>249</v>
      </c>
      <c r="B1631" s="1212" t="s">
        <v>845</v>
      </c>
      <c r="C1631" s="1213"/>
      <c r="D1631" s="1214"/>
      <c r="E1631" s="193">
        <f xml:space="preserve"> 0.58+((1.15+1.71)/2)</f>
        <v>2.0099999999999998</v>
      </c>
      <c r="F1631" s="127" t="s">
        <v>108</v>
      </c>
      <c r="G1631" s="117"/>
      <c r="H1631" s="554"/>
      <c r="I1631" s="141">
        <f>E1631</f>
        <v>2.0099999999999998</v>
      </c>
      <c r="J1631" s="186">
        <v>1.01</v>
      </c>
      <c r="K1631" s="194">
        <f t="shared" si="43"/>
        <v>2.0301</v>
      </c>
      <c r="L1631" s="186" t="s">
        <v>108</v>
      </c>
      <c r="M1631" s="50"/>
      <c r="N1631" s="50"/>
      <c r="O1631" s="9"/>
      <c r="P1631" s="34"/>
      <c r="Q1631" s="5"/>
      <c r="R1631" s="35"/>
      <c r="S1631" s="9"/>
      <c r="T1631" s="9"/>
      <c r="U1631" s="9"/>
      <c r="V1631" s="9"/>
      <c r="W1631" s="9"/>
      <c r="X1631" s="9"/>
      <c r="Y1631" s="9"/>
    </row>
    <row r="1632" spans="1:25" ht="30" customHeight="1" x14ac:dyDescent="0.35">
      <c r="A1632" s="186" t="s">
        <v>333</v>
      </c>
      <c r="B1632" s="1212" t="s">
        <v>877</v>
      </c>
      <c r="C1632" s="1213"/>
      <c r="D1632" s="1214"/>
      <c r="E1632" s="194">
        <v>177000</v>
      </c>
      <c r="F1632" s="127" t="s">
        <v>40</v>
      </c>
      <c r="G1632" s="117"/>
      <c r="H1632" s="554" t="s">
        <v>847</v>
      </c>
      <c r="I1632" s="141">
        <f>+E1632*2/$H$1626</f>
        <v>10.723698161218987</v>
      </c>
      <c r="J1632" s="186">
        <v>1.02</v>
      </c>
      <c r="K1632" s="194">
        <f t="shared" si="43"/>
        <v>10.938172124443367</v>
      </c>
      <c r="L1632" s="186" t="s">
        <v>108</v>
      </c>
      <c r="M1632" s="50"/>
      <c r="N1632" s="50"/>
      <c r="P1632" s="34"/>
      <c r="Q1632" s="5"/>
      <c r="R1632" s="35"/>
    </row>
    <row r="1633" spans="1:25" ht="30" customHeight="1" x14ac:dyDescent="0.35">
      <c r="A1633" s="186" t="s">
        <v>268</v>
      </c>
      <c r="B1633" s="1267" t="s">
        <v>878</v>
      </c>
      <c r="C1633" s="1733"/>
      <c r="D1633" s="1733"/>
      <c r="E1633" s="193">
        <f>(20.3+31.5)/2</f>
        <v>25.9</v>
      </c>
      <c r="F1633" s="127" t="s">
        <v>849</v>
      </c>
      <c r="G1633" s="117">
        <f>4*81</f>
        <v>324</v>
      </c>
      <c r="H1633" s="554" t="s">
        <v>108</v>
      </c>
      <c r="I1633" s="141">
        <f>+E1633*G1633/H1626</f>
        <v>0.25420617369967585</v>
      </c>
      <c r="J1633" s="186">
        <v>1.03</v>
      </c>
      <c r="K1633" s="194">
        <f t="shared" si="43"/>
        <v>0.26183235891066614</v>
      </c>
      <c r="L1633" s="186" t="s">
        <v>108</v>
      </c>
      <c r="M1633" s="50"/>
      <c r="N1633" s="50"/>
      <c r="O1633" s="5"/>
      <c r="P1633" s="9"/>
      <c r="Q1633" s="34"/>
      <c r="R1633" s="5"/>
      <c r="S1633" s="35"/>
    </row>
    <row r="1634" spans="1:25" ht="30" customHeight="1" x14ac:dyDescent="0.35">
      <c r="A1634" s="186" t="s">
        <v>268</v>
      </c>
      <c r="B1634" s="1347" t="s">
        <v>879</v>
      </c>
      <c r="C1634" s="1348"/>
      <c r="D1634" s="1349"/>
      <c r="E1634" s="210">
        <f>(1710+2420)/2</f>
        <v>2065</v>
      </c>
      <c r="F1634" s="186" t="s">
        <v>40</v>
      </c>
      <c r="G1634" s="558">
        <v>4</v>
      </c>
      <c r="H1634" s="193" t="s">
        <v>852</v>
      </c>
      <c r="I1634" s="141">
        <f>+E1634*G1634/$H$1626</f>
        <v>0.25021962376177637</v>
      </c>
      <c r="J1634" s="186">
        <v>1.03</v>
      </c>
      <c r="K1634" s="194">
        <f t="shared" si="43"/>
        <v>0.25772621247462968</v>
      </c>
      <c r="L1634" s="186" t="s">
        <v>108</v>
      </c>
      <c r="M1634" s="50"/>
      <c r="N1634" s="50"/>
      <c r="O1634" s="5"/>
      <c r="P1634" s="9"/>
      <c r="Q1634" s="34"/>
      <c r="R1634" s="5"/>
      <c r="S1634" s="35"/>
    </row>
    <row r="1635" spans="1:25" ht="30" customHeight="1" x14ac:dyDescent="0.35">
      <c r="A1635" s="186" t="s">
        <v>271</v>
      </c>
      <c r="B1635" s="1212" t="s">
        <v>880</v>
      </c>
      <c r="C1635" s="1213"/>
      <c r="D1635" s="1214"/>
      <c r="E1635" s="194">
        <f>+(34.5+82)/2</f>
        <v>58.25</v>
      </c>
      <c r="F1635" s="127" t="s">
        <v>28</v>
      </c>
      <c r="G1635" s="117">
        <f>4*10</f>
        <v>40</v>
      </c>
      <c r="H1635" s="554" t="s">
        <v>881</v>
      </c>
      <c r="I1635" s="141">
        <f>+E1635*G1635/$H$1626</f>
        <v>7.0582533095028932E-2</v>
      </c>
      <c r="J1635" s="186">
        <v>1.03</v>
      </c>
      <c r="K1635" s="194">
        <f t="shared" si="43"/>
        <v>7.2700009087879797E-2</v>
      </c>
      <c r="L1635" s="186" t="s">
        <v>108</v>
      </c>
      <c r="M1635" s="96"/>
      <c r="N1635" s="50"/>
      <c r="O1635" s="5"/>
      <c r="P1635" s="9"/>
      <c r="Q1635" s="34"/>
      <c r="R1635" s="5"/>
      <c r="S1635" s="35"/>
    </row>
    <row r="1636" spans="1:25" ht="30" customHeight="1" x14ac:dyDescent="0.35">
      <c r="A1636" s="186" t="s">
        <v>271</v>
      </c>
      <c r="B1636" s="1212" t="s">
        <v>882</v>
      </c>
      <c r="C1636" s="1213"/>
      <c r="D1636" s="1214"/>
      <c r="E1636" s="194">
        <f>+(6450+12300)/2</f>
        <v>9375</v>
      </c>
      <c r="F1636" s="127" t="s">
        <v>40</v>
      </c>
      <c r="G1636" s="117">
        <v>4</v>
      </c>
      <c r="H1636" s="554" t="s">
        <v>847</v>
      </c>
      <c r="I1636" s="141">
        <f>+E1636*G1636/$H$1626</f>
        <v>1.1359849747054012</v>
      </c>
      <c r="J1636" s="186">
        <v>1.03</v>
      </c>
      <c r="K1636" s="194">
        <f t="shared" si="43"/>
        <v>1.1700645239465632</v>
      </c>
      <c r="L1636" s="186" t="s">
        <v>108</v>
      </c>
      <c r="M1636" s="50"/>
      <c r="N1636" s="50"/>
      <c r="O1636" s="5"/>
      <c r="P1636" s="9"/>
      <c r="Q1636" s="34"/>
      <c r="R1636" s="5"/>
      <c r="S1636" s="35"/>
    </row>
    <row r="1637" spans="1:25" ht="30" customHeight="1" x14ac:dyDescent="0.35">
      <c r="A1637" s="186" t="s">
        <v>271</v>
      </c>
      <c r="B1637" s="1212" t="s">
        <v>883</v>
      </c>
      <c r="C1637" s="1213"/>
      <c r="D1637" s="1214"/>
      <c r="E1637" s="11">
        <f>+(660+1010)/2</f>
        <v>835</v>
      </c>
      <c r="F1637" s="127" t="s">
        <v>40</v>
      </c>
      <c r="G1637" s="117">
        <v>4</v>
      </c>
      <c r="H1637" s="554" t="s">
        <v>847</v>
      </c>
      <c r="I1637" s="141">
        <f>+E1637*G1637/$H$1626</f>
        <v>0.10117839508042774</v>
      </c>
      <c r="J1637" s="186">
        <v>1.03</v>
      </c>
      <c r="K1637" s="194">
        <f t="shared" si="43"/>
        <v>0.10421374693284058</v>
      </c>
      <c r="L1637" s="186" t="s">
        <v>108</v>
      </c>
      <c r="M1637" s="50"/>
      <c r="N1637" s="50"/>
      <c r="O1637" s="884"/>
      <c r="P1637" s="9"/>
      <c r="Q1637" s="34"/>
      <c r="R1637" s="5"/>
      <c r="S1637" s="35"/>
      <c r="X1637" s="396"/>
      <c r="Y1637" s="396"/>
    </row>
    <row r="1638" spans="1:25" s="396" customFormat="1" ht="30" customHeight="1" x14ac:dyDescent="0.35">
      <c r="A1638" s="186" t="s">
        <v>271</v>
      </c>
      <c r="B1638" s="1212" t="s">
        <v>884</v>
      </c>
      <c r="C1638" s="1213"/>
      <c r="D1638" s="1214"/>
      <c r="E1638" s="194">
        <f>+(1160+3475)/2</f>
        <v>2317.5</v>
      </c>
      <c r="F1638" s="127" t="s">
        <v>40</v>
      </c>
      <c r="G1638" s="117">
        <v>4</v>
      </c>
      <c r="H1638" s="554" t="s">
        <v>847</v>
      </c>
      <c r="I1638" s="141">
        <f>+E1638*G1638/$H$1626</f>
        <v>0.28081548574717519</v>
      </c>
      <c r="J1638" s="186">
        <v>1.03</v>
      </c>
      <c r="K1638" s="194">
        <f t="shared" si="43"/>
        <v>0.28923995031959043</v>
      </c>
      <c r="L1638" s="186" t="s">
        <v>108</v>
      </c>
      <c r="M1638" s="50"/>
      <c r="N1638" s="50"/>
      <c r="O1638" s="5"/>
      <c r="P1638" s="9"/>
      <c r="Q1638" s="34"/>
      <c r="R1638" s="5"/>
      <c r="S1638" s="35"/>
      <c r="T1638" s="9"/>
      <c r="U1638" s="9"/>
      <c r="V1638" s="9"/>
      <c r="W1638" s="9"/>
      <c r="X1638" s="9"/>
      <c r="Y1638" s="9"/>
    </row>
    <row r="1639" spans="1:25" ht="30" customHeight="1" x14ac:dyDescent="0.35">
      <c r="A1639" s="186"/>
      <c r="B1639" s="1264"/>
      <c r="C1639" s="1264"/>
      <c r="D1639" s="1264"/>
      <c r="E1639" s="194"/>
      <c r="F1639" s="503"/>
      <c r="G1639" s="534"/>
      <c r="H1639" s="534"/>
      <c r="I1639" s="186"/>
      <c r="J1639" s="186" t="s">
        <v>251</v>
      </c>
      <c r="K1639" s="194">
        <f>SUM(K1628:K1638)</f>
        <v>182.42196392611552</v>
      </c>
      <c r="L1639" s="186" t="s">
        <v>108</v>
      </c>
      <c r="M1639" s="50"/>
      <c r="O1639" s="5"/>
      <c r="P1639" s="9"/>
      <c r="Q1639" s="34"/>
      <c r="R1639" s="5"/>
      <c r="S1639" s="35"/>
    </row>
    <row r="1640" spans="1:25" ht="30" customHeight="1" x14ac:dyDescent="0.35">
      <c r="A1640" s="186"/>
      <c r="B1640" s="567"/>
      <c r="C1640" s="567"/>
      <c r="D1640" s="567"/>
      <c r="E1640" s="567"/>
      <c r="F1640" s="1215" t="s">
        <v>195</v>
      </c>
      <c r="G1640" s="1273" t="s">
        <v>196</v>
      </c>
      <c r="H1640" s="1273"/>
      <c r="I1640" s="1273"/>
      <c r="J1640" s="1273"/>
      <c r="K1640" s="196">
        <v>1.08</v>
      </c>
      <c r="L1640" s="186"/>
      <c r="M1640" s="50"/>
      <c r="N1640" s="50"/>
      <c r="O1640" s="5"/>
      <c r="P1640" s="9"/>
      <c r="Q1640" s="34"/>
      <c r="R1640" s="5"/>
      <c r="S1640" s="35"/>
    </row>
    <row r="1641" spans="1:25" ht="30" customHeight="1" x14ac:dyDescent="0.35">
      <c r="A1641" s="186"/>
      <c r="B1641" s="567"/>
      <c r="C1641" s="567"/>
      <c r="D1641" s="567"/>
      <c r="E1641" s="567"/>
      <c r="F1641" s="1216"/>
      <c r="G1641" s="1268" t="s">
        <v>276</v>
      </c>
      <c r="H1641" s="1268"/>
      <c r="I1641" s="1268"/>
      <c r="J1641" s="1268"/>
      <c r="K1641" s="196">
        <v>1.08</v>
      </c>
      <c r="L1641" s="186"/>
      <c r="M1641" s="50"/>
      <c r="N1641" s="50"/>
      <c r="O1641" s="5"/>
      <c r="P1641" s="9"/>
      <c r="Q1641" s="34"/>
      <c r="R1641" s="5"/>
      <c r="S1641" s="35"/>
    </row>
    <row r="1642" spans="1:25" ht="30" customHeight="1" x14ac:dyDescent="0.35">
      <c r="A1642" s="186"/>
      <c r="B1642" s="186"/>
      <c r="C1642" s="503"/>
      <c r="D1642" s="503"/>
      <c r="E1642" s="503"/>
      <c r="F1642" s="503"/>
      <c r="G1642" s="503"/>
      <c r="H1642" s="503"/>
      <c r="I1642" s="503"/>
      <c r="J1642" s="503" t="s">
        <v>37</v>
      </c>
      <c r="K1642" s="193">
        <f>+K1639*K1640/K1641</f>
        <v>182.42196392611552</v>
      </c>
      <c r="L1642" s="186" t="s">
        <v>108</v>
      </c>
      <c r="M1642" s="50"/>
      <c r="N1642" s="96"/>
    </row>
    <row r="1643" spans="1:25" ht="30" customHeight="1" x14ac:dyDescent="0.35">
      <c r="A1643" s="186"/>
      <c r="B1643" s="186"/>
      <c r="C1643" s="503"/>
      <c r="D1643" s="503"/>
      <c r="E1643" s="503"/>
      <c r="F1643" s="503"/>
      <c r="G1643" s="1374" t="s">
        <v>257</v>
      </c>
      <c r="H1643" s="1375"/>
      <c r="I1643" s="1376"/>
      <c r="J1643" s="560">
        <f>VLOOKUP(B1626,'Mil Cost Premiums for PUCs'!$A$4:$R$285,18,FALSE)</f>
        <v>1.1932356231980656</v>
      </c>
      <c r="K1643" s="193">
        <f>+K1642*J1643</f>
        <v>217.67238581039351</v>
      </c>
      <c r="L1643" s="186" t="s">
        <v>108</v>
      </c>
      <c r="M1643" s="50"/>
      <c r="N1643" s="50"/>
      <c r="T1643" s="10"/>
      <c r="U1643" s="10"/>
      <c r="X1643" s="396"/>
      <c r="Y1643" s="396"/>
    </row>
    <row r="1644" spans="1:25" s="396" customFormat="1" ht="30" customHeight="1" x14ac:dyDescent="0.35">
      <c r="A1644" s="186"/>
      <c r="B1644" s="186"/>
      <c r="C1644" s="503"/>
      <c r="D1644" s="503"/>
      <c r="E1644" s="503"/>
      <c r="F1644" s="1491" t="s">
        <v>277</v>
      </c>
      <c r="G1644" s="1413"/>
      <c r="H1644" s="1413"/>
      <c r="I1644" s="1413"/>
      <c r="J1644" s="560">
        <v>1.0833999999999999</v>
      </c>
      <c r="K1644" s="724">
        <f>K1643*J1644</f>
        <v>235.82626278698029</v>
      </c>
      <c r="L1644" s="186" t="s">
        <v>108</v>
      </c>
      <c r="M1644" s="50"/>
      <c r="N1644" s="50"/>
      <c r="O1644" s="9"/>
      <c r="P1644" s="14"/>
      <c r="Q1644" s="9"/>
      <c r="R1644" s="9"/>
      <c r="S1644" s="9"/>
      <c r="T1644" s="10"/>
      <c r="U1644" s="10"/>
      <c r="V1644" s="9"/>
      <c r="W1644" s="9"/>
      <c r="X1644" s="9"/>
      <c r="Y1644" s="9"/>
    </row>
    <row r="1645" spans="1:25" ht="30" customHeight="1" x14ac:dyDescent="0.35">
      <c r="A1645" s="569"/>
      <c r="B1645" s="569"/>
      <c r="C1645" s="510"/>
      <c r="D1645" s="510"/>
      <c r="E1645" s="510"/>
      <c r="F1645" s="510"/>
      <c r="G1645" s="1737" t="s">
        <v>2817</v>
      </c>
      <c r="H1645" s="1738"/>
      <c r="I1645" s="1739"/>
      <c r="J1645" s="885">
        <v>1.1214</v>
      </c>
      <c r="K1645" s="272">
        <f>+K1644*J1645</f>
        <v>264.45557108931968</v>
      </c>
      <c r="L1645" s="271" t="s">
        <v>108</v>
      </c>
      <c r="M1645" s="50"/>
      <c r="N1645" s="50"/>
      <c r="O1645" s="572"/>
      <c r="P1645" s="384"/>
      <c r="Q1645" s="396"/>
      <c r="R1645" s="396"/>
      <c r="S1645" s="396"/>
      <c r="T1645" s="396"/>
      <c r="U1645" s="396"/>
      <c r="V1645" s="396"/>
      <c r="W1645" s="396"/>
    </row>
    <row r="1646" spans="1:25" ht="30" customHeight="1" thickBot="1" x14ac:dyDescent="0.4">
      <c r="B1646" s="5"/>
      <c r="G1646" s="1191" t="s">
        <v>3000</v>
      </c>
      <c r="H1646" s="1192"/>
      <c r="I1646" s="1193"/>
      <c r="J1646" s="570">
        <f>+'FY2024 MILCON Inflation Table'!F19</f>
        <v>1.0438745311870332</v>
      </c>
      <c r="K1646" s="285">
        <f>+K1645*J1646</f>
        <v>276.05843529066271</v>
      </c>
      <c r="L1646" s="271" t="s">
        <v>108</v>
      </c>
      <c r="M1646" s="50"/>
      <c r="N1646" s="50"/>
    </row>
    <row r="1647" spans="1:25" ht="30" customHeight="1" thickBot="1" x14ac:dyDescent="0.4">
      <c r="A1647" s="1199"/>
      <c r="B1647" s="1200"/>
      <c r="C1647" s="1200"/>
      <c r="D1647" s="1200"/>
      <c r="E1647" s="1200"/>
      <c r="F1647" s="1200"/>
      <c r="G1647" s="1200"/>
      <c r="H1647" s="1200"/>
      <c r="I1647" s="1200"/>
      <c r="J1647" s="1200"/>
      <c r="K1647" s="1200"/>
      <c r="L1647" s="1201"/>
      <c r="N1647" s="50"/>
    </row>
    <row r="1648" spans="1:25" ht="30" customHeight="1" x14ac:dyDescent="0.35">
      <c r="A1648" s="388" t="s">
        <v>1</v>
      </c>
      <c r="B1648" s="389">
        <v>2126</v>
      </c>
      <c r="C1648" s="1581" t="s">
        <v>885</v>
      </c>
      <c r="D1648" s="1581"/>
      <c r="E1648" s="392" t="s">
        <v>3</v>
      </c>
      <c r="F1648" s="393" t="s">
        <v>108</v>
      </c>
      <c r="G1648" s="390" t="s">
        <v>38</v>
      </c>
      <c r="H1648" s="886">
        <v>33754</v>
      </c>
      <c r="I1648" s="392" t="s">
        <v>5</v>
      </c>
      <c r="J1648" s="1207" t="s">
        <v>186</v>
      </c>
      <c r="K1648" s="1207"/>
      <c r="L1648" s="1208"/>
      <c r="M1648" s="50"/>
      <c r="N1648" s="50"/>
      <c r="T1648" s="10"/>
      <c r="U1648" s="10"/>
      <c r="X1648" s="396"/>
      <c r="Y1648" s="396"/>
    </row>
    <row r="1649" spans="1:25" s="396" customFormat="1" ht="30" customHeight="1" x14ac:dyDescent="0.35">
      <c r="A1649" s="494" t="s">
        <v>187</v>
      </c>
      <c r="B1649" s="1280" t="s">
        <v>211</v>
      </c>
      <c r="C1649" s="1281"/>
      <c r="D1649" s="1282"/>
      <c r="E1649" s="494" t="s">
        <v>52</v>
      </c>
      <c r="F1649" s="494" t="s">
        <v>53</v>
      </c>
      <c r="G1649" s="1209" t="s">
        <v>54</v>
      </c>
      <c r="H1649" s="1210"/>
      <c r="I1649" s="125" t="s">
        <v>841</v>
      </c>
      <c r="J1649" s="185" t="s">
        <v>188</v>
      </c>
      <c r="K1649" s="1209" t="s">
        <v>180</v>
      </c>
      <c r="L1649" s="1210"/>
      <c r="M1649" s="50"/>
      <c r="N1649" s="50"/>
      <c r="O1649" s="9"/>
      <c r="P1649" s="14"/>
      <c r="Q1649" s="9"/>
      <c r="R1649" s="9"/>
      <c r="S1649" s="9"/>
      <c r="T1649" s="10"/>
      <c r="U1649" s="10"/>
      <c r="V1649" s="9"/>
      <c r="W1649" s="9"/>
      <c r="X1649" s="9"/>
      <c r="Y1649" s="9"/>
    </row>
    <row r="1650" spans="1:25" ht="30" customHeight="1" x14ac:dyDescent="0.35">
      <c r="A1650" s="186" t="s">
        <v>842</v>
      </c>
      <c r="B1650" s="1212" t="s">
        <v>886</v>
      </c>
      <c r="C1650" s="1213"/>
      <c r="D1650" s="1214"/>
      <c r="E1650" s="194">
        <f>164-2.51</f>
        <v>161.49</v>
      </c>
      <c r="F1650" s="186" t="s">
        <v>108</v>
      </c>
      <c r="G1650" s="707"/>
      <c r="H1650" s="708"/>
      <c r="I1650" s="58">
        <f>+E1650</f>
        <v>161.49</v>
      </c>
      <c r="J1650" s="186">
        <v>1.1599999999999999</v>
      </c>
      <c r="K1650" s="7">
        <f>+I1650*J1650</f>
        <v>187.32839999999999</v>
      </c>
      <c r="L1650" s="422" t="s">
        <v>108</v>
      </c>
      <c r="M1650" s="50"/>
      <c r="N1650" s="50"/>
      <c r="O1650" s="572"/>
      <c r="P1650" s="384"/>
      <c r="Q1650" s="396"/>
      <c r="R1650" s="396"/>
      <c r="S1650" s="396"/>
      <c r="T1650" s="396"/>
      <c r="U1650" s="396"/>
      <c r="V1650" s="396"/>
      <c r="W1650" s="396"/>
    </row>
    <row r="1651" spans="1:25" ht="30" customHeight="1" x14ac:dyDescent="0.35">
      <c r="A1651" s="186" t="s">
        <v>249</v>
      </c>
      <c r="B1651" s="1212" t="s">
        <v>876</v>
      </c>
      <c r="C1651" s="1213"/>
      <c r="D1651" s="1214"/>
      <c r="E1651" s="11">
        <v>3.61</v>
      </c>
      <c r="F1651" s="186" t="s">
        <v>108</v>
      </c>
      <c r="G1651" s="117"/>
      <c r="H1651" s="554"/>
      <c r="I1651" s="58">
        <f>+E1651</f>
        <v>3.61</v>
      </c>
      <c r="J1651" s="186">
        <v>1.1599999999999999</v>
      </c>
      <c r="K1651" s="7">
        <f>+I1651*J1651</f>
        <v>4.1875999999999998</v>
      </c>
      <c r="L1651" s="186" t="s">
        <v>108</v>
      </c>
      <c r="M1651" s="50"/>
      <c r="N1651" s="50"/>
    </row>
    <row r="1652" spans="1:25" ht="30" customHeight="1" x14ac:dyDescent="0.35">
      <c r="A1652" s="186" t="s">
        <v>249</v>
      </c>
      <c r="B1652" s="1212" t="s">
        <v>844</v>
      </c>
      <c r="C1652" s="1213"/>
      <c r="D1652" s="1214"/>
      <c r="E1652" s="193">
        <f>0.15*E1651</f>
        <v>0.54149999999999998</v>
      </c>
      <c r="F1652" s="127" t="s">
        <v>108</v>
      </c>
      <c r="G1652" s="117"/>
      <c r="H1652" s="554"/>
      <c r="I1652" s="58">
        <f>+E1652</f>
        <v>0.54149999999999998</v>
      </c>
      <c r="J1652" s="186">
        <v>1.1599999999999999</v>
      </c>
      <c r="K1652" s="7">
        <f>+I1652*J1652</f>
        <v>0.62813999999999992</v>
      </c>
      <c r="L1652" s="422" t="s">
        <v>108</v>
      </c>
      <c r="M1652" s="96"/>
      <c r="N1652" s="50"/>
    </row>
    <row r="1653" spans="1:25" ht="30" customHeight="1" x14ac:dyDescent="0.35">
      <c r="A1653" s="186" t="s">
        <v>249</v>
      </c>
      <c r="B1653" s="1212" t="s">
        <v>845</v>
      </c>
      <c r="C1653" s="1213"/>
      <c r="D1653" s="1214"/>
      <c r="E1653" s="193">
        <f xml:space="preserve"> 0.58+((1.15+1.71)/2)</f>
        <v>2.0099999999999998</v>
      </c>
      <c r="F1653" s="127" t="s">
        <v>108</v>
      </c>
      <c r="G1653" s="117"/>
      <c r="H1653" s="554"/>
      <c r="I1653" s="141">
        <f>+E1653</f>
        <v>2.0099999999999998</v>
      </c>
      <c r="J1653" s="186">
        <v>1.1599999999999999</v>
      </c>
      <c r="K1653" s="7">
        <f>+I1653*J1653</f>
        <v>2.3315999999999995</v>
      </c>
      <c r="L1653" s="186" t="s">
        <v>108</v>
      </c>
      <c r="M1653" s="96"/>
      <c r="N1653" s="50"/>
      <c r="T1653" s="10"/>
      <c r="U1653" s="10"/>
    </row>
    <row r="1654" spans="1:25" ht="30" customHeight="1" x14ac:dyDescent="0.35">
      <c r="A1654" s="186" t="s">
        <v>333</v>
      </c>
      <c r="B1654" s="1212" t="s">
        <v>887</v>
      </c>
      <c r="C1654" s="1213"/>
      <c r="D1654" s="1214"/>
      <c r="E1654" s="194">
        <v>204000</v>
      </c>
      <c r="F1654" s="127" t="s">
        <v>40</v>
      </c>
      <c r="G1654" s="722">
        <f>H1648</f>
        <v>33754</v>
      </c>
      <c r="H1654" s="554" t="s">
        <v>847</v>
      </c>
      <c r="I1654" s="141">
        <f>+E1654/H1648</f>
        <v>6.0437281507376905</v>
      </c>
      <c r="J1654" s="186">
        <v>1.04</v>
      </c>
      <c r="K1654" s="7">
        <f>+I1654*2*J1654</f>
        <v>12.570954553534397</v>
      </c>
      <c r="L1654" s="422" t="s">
        <v>108</v>
      </c>
      <c r="M1654" s="50"/>
      <c r="N1654" s="50"/>
      <c r="T1654" s="10"/>
      <c r="U1654" s="10"/>
    </row>
    <row r="1655" spans="1:25" ht="30" customHeight="1" x14ac:dyDescent="0.35">
      <c r="A1655" s="186" t="s">
        <v>268</v>
      </c>
      <c r="B1655" s="1267" t="s">
        <v>888</v>
      </c>
      <c r="C1655" s="1733"/>
      <c r="D1655" s="1733"/>
      <c r="E1655" s="193">
        <f>(24+37.25)/2</f>
        <v>30.625</v>
      </c>
      <c r="F1655" s="186" t="s">
        <v>849</v>
      </c>
      <c r="G1655" s="558">
        <f>4*81</f>
        <v>324</v>
      </c>
      <c r="H1655" s="192" t="s">
        <v>881</v>
      </c>
      <c r="I1655" s="141">
        <f t="shared" ref="I1655:I1660" si="44">+E1655*G1655/33595</f>
        <v>0.29535645185295428</v>
      </c>
      <c r="J1655" s="186">
        <v>1.07</v>
      </c>
      <c r="K1655" s="7">
        <f t="shared" ref="K1655:K1660" si="45">+I1655*J1655</f>
        <v>0.31603140348266112</v>
      </c>
      <c r="L1655" s="422" t="s">
        <v>108</v>
      </c>
      <c r="M1655" s="50"/>
      <c r="N1655" s="50"/>
      <c r="O1655" s="572"/>
      <c r="P1655" s="384"/>
      <c r="Q1655" s="396"/>
      <c r="R1655" s="396"/>
      <c r="S1655" s="396"/>
      <c r="T1655" s="396"/>
      <c r="U1655" s="396"/>
      <c r="V1655" s="396"/>
      <c r="W1655" s="396"/>
    </row>
    <row r="1656" spans="1:25" ht="30" customHeight="1" x14ac:dyDescent="0.35">
      <c r="A1656" s="186" t="s">
        <v>268</v>
      </c>
      <c r="B1656" s="1730" t="s">
        <v>879</v>
      </c>
      <c r="C1656" s="1731"/>
      <c r="D1656" s="1732"/>
      <c r="E1656" s="210">
        <f>(2020+2850)/2</f>
        <v>2435</v>
      </c>
      <c r="F1656" s="186" t="s">
        <v>40</v>
      </c>
      <c r="G1656" s="558">
        <v>4</v>
      </c>
      <c r="H1656" s="193" t="s">
        <v>852</v>
      </c>
      <c r="I1656" s="141">
        <f t="shared" si="44"/>
        <v>0.28992409584759637</v>
      </c>
      <c r="J1656" s="186">
        <v>1.07</v>
      </c>
      <c r="K1656" s="7">
        <f t="shared" si="45"/>
        <v>0.31021878255692814</v>
      </c>
      <c r="L1656" s="422" t="s">
        <v>108</v>
      </c>
      <c r="M1656" s="50"/>
      <c r="N1656" s="97"/>
    </row>
    <row r="1657" spans="1:25" ht="30" customHeight="1" x14ac:dyDescent="0.35">
      <c r="A1657" s="186" t="s">
        <v>271</v>
      </c>
      <c r="B1657" s="1212" t="s">
        <v>889</v>
      </c>
      <c r="C1657" s="1213"/>
      <c r="D1657" s="1214"/>
      <c r="E1657" s="194">
        <f>+(34.5+82)/2</f>
        <v>58.25</v>
      </c>
      <c r="F1657" s="127" t="s">
        <v>28</v>
      </c>
      <c r="G1657" s="117">
        <f>4*10</f>
        <v>40</v>
      </c>
      <c r="H1657" s="554" t="s">
        <v>881</v>
      </c>
      <c r="I1657" s="141">
        <f t="shared" si="44"/>
        <v>6.9355558862926034E-2</v>
      </c>
      <c r="J1657" s="186">
        <v>1.21</v>
      </c>
      <c r="K1657" s="7">
        <f t="shared" si="45"/>
        <v>8.3920226224140498E-2</v>
      </c>
      <c r="L1657" s="422" t="s">
        <v>108</v>
      </c>
      <c r="M1657" s="50"/>
      <c r="N1657" s="50"/>
      <c r="O1657" s="14"/>
    </row>
    <row r="1658" spans="1:25" ht="30" customHeight="1" x14ac:dyDescent="0.35">
      <c r="A1658" s="186" t="s">
        <v>271</v>
      </c>
      <c r="B1658" s="1212" t="s">
        <v>882</v>
      </c>
      <c r="C1658" s="1213"/>
      <c r="D1658" s="1214"/>
      <c r="E1658" s="194">
        <f>+(6450+12300)/2</f>
        <v>9375</v>
      </c>
      <c r="F1658" s="127" t="s">
        <v>40</v>
      </c>
      <c r="G1658" s="117">
        <v>4</v>
      </c>
      <c r="H1658" s="554" t="s">
        <v>847</v>
      </c>
      <c r="I1658" s="141">
        <f t="shared" si="44"/>
        <v>1.116237535347522</v>
      </c>
      <c r="J1658" s="186">
        <v>1.21</v>
      </c>
      <c r="K1658" s="7">
        <f t="shared" si="45"/>
        <v>1.3506474177705017</v>
      </c>
      <c r="L1658" s="422" t="s">
        <v>108</v>
      </c>
      <c r="M1658" s="50"/>
      <c r="N1658" s="50"/>
      <c r="T1658" s="10"/>
      <c r="U1658" s="10"/>
    </row>
    <row r="1659" spans="1:25" ht="30" customHeight="1" x14ac:dyDescent="0.35">
      <c r="A1659" s="186" t="s">
        <v>271</v>
      </c>
      <c r="B1659" s="1212" t="s">
        <v>883</v>
      </c>
      <c r="C1659" s="1213"/>
      <c r="D1659" s="1214"/>
      <c r="E1659" s="11">
        <f>+(660+1010)/2</f>
        <v>835</v>
      </c>
      <c r="F1659" s="127" t="s">
        <v>40</v>
      </c>
      <c r="G1659" s="117">
        <v>4</v>
      </c>
      <c r="H1659" s="554" t="s">
        <v>847</v>
      </c>
      <c r="I1659" s="141">
        <f t="shared" si="44"/>
        <v>9.9419556481619292E-2</v>
      </c>
      <c r="J1659" s="186">
        <v>1.21</v>
      </c>
      <c r="K1659" s="7">
        <f t="shared" si="45"/>
        <v>0.12029766334275933</v>
      </c>
      <c r="L1659" s="186" t="s">
        <v>108</v>
      </c>
      <c r="M1659" s="50"/>
      <c r="N1659" s="50"/>
      <c r="T1659" s="10"/>
      <c r="U1659" s="10"/>
    </row>
    <row r="1660" spans="1:25" ht="30" customHeight="1" x14ac:dyDescent="0.35">
      <c r="A1660" s="186" t="s">
        <v>271</v>
      </c>
      <c r="B1660" s="1212" t="s">
        <v>884</v>
      </c>
      <c r="C1660" s="1213"/>
      <c r="D1660" s="1214"/>
      <c r="E1660" s="194">
        <f>+(1160+3475)/2</f>
        <v>2317.5</v>
      </c>
      <c r="F1660" s="127" t="s">
        <v>40</v>
      </c>
      <c r="G1660" s="117">
        <v>4</v>
      </c>
      <c r="H1660" s="554" t="s">
        <v>847</v>
      </c>
      <c r="I1660" s="141">
        <f t="shared" si="44"/>
        <v>0.2759339187379074</v>
      </c>
      <c r="J1660" s="186">
        <v>1.21</v>
      </c>
      <c r="K1660" s="7">
        <f t="shared" si="45"/>
        <v>0.33388004167286794</v>
      </c>
      <c r="L1660" s="186" t="s">
        <v>108</v>
      </c>
      <c r="M1660" s="50"/>
      <c r="N1660" s="96"/>
      <c r="O1660" s="572"/>
      <c r="P1660" s="384"/>
      <c r="Q1660" s="396"/>
      <c r="R1660" s="396"/>
      <c r="S1660" s="396"/>
      <c r="T1660" s="396"/>
      <c r="U1660" s="396"/>
      <c r="V1660" s="396"/>
      <c r="W1660" s="396"/>
    </row>
    <row r="1661" spans="1:25" ht="30" customHeight="1" x14ac:dyDescent="0.35">
      <c r="A1661" s="186"/>
      <c r="B1661" s="1264"/>
      <c r="C1661" s="1264"/>
      <c r="D1661" s="1264"/>
      <c r="E1661" s="194"/>
      <c r="F1661" s="503"/>
      <c r="G1661" s="534"/>
      <c r="H1661" s="534"/>
      <c r="I1661" s="186" t="s">
        <v>251</v>
      </c>
      <c r="J1661" s="194">
        <f>SUM(K1650:K1660)</f>
        <v>209.56169008858424</v>
      </c>
      <c r="K1661" s="194">
        <f>SUM(K1650:K1660)</f>
        <v>209.56169008858424</v>
      </c>
      <c r="L1661" s="186" t="s">
        <v>108</v>
      </c>
      <c r="M1661" s="50"/>
      <c r="N1661" s="50"/>
      <c r="O1661" s="10"/>
      <c r="P1661" s="9"/>
      <c r="Q1661" s="34"/>
      <c r="R1661" s="5"/>
      <c r="S1661" s="35"/>
    </row>
    <row r="1662" spans="1:25" ht="30" customHeight="1" x14ac:dyDescent="0.35">
      <c r="A1662" s="186"/>
      <c r="B1662" s="567"/>
      <c r="C1662" s="567"/>
      <c r="D1662" s="567"/>
      <c r="E1662" s="567"/>
      <c r="F1662" s="1215" t="s">
        <v>195</v>
      </c>
      <c r="G1662" s="1273" t="s">
        <v>196</v>
      </c>
      <c r="H1662" s="1273"/>
      <c r="I1662" s="1273"/>
      <c r="J1662" s="1273"/>
      <c r="K1662" s="196">
        <v>1.05</v>
      </c>
      <c r="L1662" s="186"/>
      <c r="M1662" s="97"/>
      <c r="N1662" s="50"/>
      <c r="O1662" s="5"/>
      <c r="P1662" s="9"/>
      <c r="Q1662" s="34"/>
      <c r="R1662" s="5"/>
      <c r="S1662" s="35"/>
    </row>
    <row r="1663" spans="1:25" ht="30" customHeight="1" x14ac:dyDescent="0.35">
      <c r="A1663" s="186"/>
      <c r="B1663" s="567"/>
      <c r="C1663" s="567"/>
      <c r="D1663" s="567"/>
      <c r="E1663" s="567"/>
      <c r="F1663" s="1216"/>
      <c r="G1663" s="1268" t="s">
        <v>197</v>
      </c>
      <c r="H1663" s="1268"/>
      <c r="I1663" s="1268"/>
      <c r="J1663" s="1268"/>
      <c r="K1663" s="196">
        <v>1.06</v>
      </c>
      <c r="L1663" s="186"/>
      <c r="M1663" s="50"/>
      <c r="N1663" s="50"/>
    </row>
    <row r="1664" spans="1:25" ht="30" customHeight="1" x14ac:dyDescent="0.35">
      <c r="A1664" s="186"/>
      <c r="B1664" s="186"/>
      <c r="C1664" s="503"/>
      <c r="D1664" s="503"/>
      <c r="E1664" s="503"/>
      <c r="F1664" s="503"/>
      <c r="G1664" s="503"/>
      <c r="H1664" s="503"/>
      <c r="I1664" s="503"/>
      <c r="J1664" s="186" t="s">
        <v>37</v>
      </c>
      <c r="K1664" s="193">
        <f>+J1661*K1662/K1663</f>
        <v>207.58469301227686</v>
      </c>
      <c r="L1664" s="186" t="s">
        <v>108</v>
      </c>
      <c r="M1664" s="50"/>
      <c r="N1664" s="50"/>
    </row>
    <row r="1665" spans="1:23" ht="30" customHeight="1" x14ac:dyDescent="0.35">
      <c r="A1665" s="186"/>
      <c r="B1665" s="186"/>
      <c r="C1665" s="503"/>
      <c r="D1665" s="503"/>
      <c r="E1665" s="503"/>
      <c r="G1665" s="1374" t="s">
        <v>257</v>
      </c>
      <c r="H1665" s="1375"/>
      <c r="I1665" s="1376"/>
      <c r="J1665" s="560">
        <f>VLOOKUP(B1648,'Mil Cost Premiums for PUCs'!$A$4:$R$285,18,FALSE)</f>
        <v>1.1932356231980656</v>
      </c>
      <c r="K1665" s="193">
        <f>+K1664*J1665</f>
        <v>247.69745053288332</v>
      </c>
      <c r="L1665" s="186" t="s">
        <v>108</v>
      </c>
      <c r="M1665" s="50"/>
      <c r="N1665" s="50"/>
      <c r="T1665" s="10"/>
      <c r="U1665" s="10"/>
    </row>
    <row r="1666" spans="1:23" ht="30" customHeight="1" x14ac:dyDescent="0.35">
      <c r="A1666" s="569"/>
      <c r="B1666" s="569"/>
      <c r="C1666" s="510"/>
      <c r="D1666" s="510"/>
      <c r="E1666" s="510"/>
      <c r="F1666" s="510"/>
      <c r="G1666" s="1191" t="s">
        <v>2817</v>
      </c>
      <c r="H1666" s="1192"/>
      <c r="I1666" s="1193"/>
      <c r="J1666" s="570">
        <v>1.1214</v>
      </c>
      <c r="K1666" s="285">
        <f>+K1665*J1666</f>
        <v>277.76792102757537</v>
      </c>
      <c r="L1666" s="186" t="s">
        <v>108</v>
      </c>
      <c r="M1666" s="50"/>
      <c r="N1666" s="50"/>
      <c r="T1666" s="10"/>
      <c r="U1666" s="10"/>
    </row>
    <row r="1667" spans="1:23" ht="30" customHeight="1" x14ac:dyDescent="0.35">
      <c r="A1667" s="569"/>
      <c r="B1667" s="569"/>
      <c r="C1667" s="510"/>
      <c r="D1667" s="510"/>
      <c r="E1667" s="510"/>
      <c r="F1667" s="510"/>
      <c r="G1667" s="1191" t="s">
        <v>3000</v>
      </c>
      <c r="H1667" s="1192"/>
      <c r="I1667" s="1193"/>
      <c r="J1667" s="570">
        <v>1.0438745311870361</v>
      </c>
      <c r="K1667" s="285">
        <f>+K1666*J1667</f>
        <v>289.95485834145791</v>
      </c>
      <c r="L1667" s="186" t="s">
        <v>108</v>
      </c>
      <c r="M1667" s="50"/>
      <c r="N1667" s="50"/>
      <c r="O1667" s="572"/>
      <c r="P1667" s="384"/>
      <c r="Q1667" s="396"/>
      <c r="R1667" s="396"/>
      <c r="S1667" s="396"/>
      <c r="T1667" s="396"/>
      <c r="U1667" s="396"/>
      <c r="V1667" s="396"/>
      <c r="W1667" s="396"/>
    </row>
    <row r="1668" spans="1:23" ht="30" customHeight="1" x14ac:dyDescent="0.35">
      <c r="A1668" s="1274" t="s">
        <v>198</v>
      </c>
      <c r="B1668" s="1275"/>
      <c r="C1668" s="1275"/>
      <c r="D1668" s="1275"/>
      <c r="E1668" s="1275"/>
      <c r="F1668" s="1275"/>
      <c r="G1668" s="1275"/>
      <c r="H1668" s="1275"/>
      <c r="I1668" s="1275"/>
      <c r="J1668" s="1275"/>
      <c r="K1668" s="1275"/>
      <c r="L1668" s="1276"/>
      <c r="M1668" s="50"/>
      <c r="N1668" s="50"/>
    </row>
    <row r="1669" spans="1:23" ht="30" customHeight="1" x14ac:dyDescent="0.35">
      <c r="A1669" s="1740" t="s">
        <v>199</v>
      </c>
      <c r="B1669" s="1740"/>
      <c r="C1669" s="1740"/>
      <c r="D1669" s="1274" t="s">
        <v>890</v>
      </c>
      <c r="E1669" s="1275"/>
      <c r="F1669" s="1275"/>
      <c r="G1669" s="1275"/>
      <c r="H1669" s="1275"/>
      <c r="I1669" s="1275"/>
      <c r="J1669" s="1275"/>
      <c r="K1669" s="1275"/>
      <c r="L1669" s="1276"/>
      <c r="M1669" s="50"/>
      <c r="N1669" s="50"/>
    </row>
    <row r="1670" spans="1:23" ht="30" customHeight="1" x14ac:dyDescent="0.35">
      <c r="A1670" s="1654" t="s">
        <v>200</v>
      </c>
      <c r="B1670" s="1655"/>
      <c r="C1670" s="1656"/>
      <c r="D1670" s="1274" t="s">
        <v>891</v>
      </c>
      <c r="E1670" s="1275"/>
      <c r="F1670" s="1275"/>
      <c r="G1670" s="1275"/>
      <c r="H1670" s="1275"/>
      <c r="I1670" s="1275"/>
      <c r="J1670" s="1275"/>
      <c r="K1670" s="1275"/>
      <c r="L1670" s="1276"/>
      <c r="M1670" s="50"/>
      <c r="N1670" s="50"/>
      <c r="O1670" s="5"/>
      <c r="P1670" s="9"/>
      <c r="Q1670" s="34"/>
      <c r="R1670" s="5"/>
      <c r="S1670" s="35"/>
    </row>
    <row r="1671" spans="1:23" ht="30" customHeight="1" x14ac:dyDescent="0.35">
      <c r="A1671" s="1654" t="s">
        <v>201</v>
      </c>
      <c r="B1671" s="1655"/>
      <c r="C1671" s="1656"/>
      <c r="D1671" s="1274" t="s">
        <v>892</v>
      </c>
      <c r="E1671" s="1275"/>
      <c r="F1671" s="1275"/>
      <c r="G1671" s="1275"/>
      <c r="H1671" s="1275"/>
      <c r="I1671" s="1275"/>
      <c r="J1671" s="1275"/>
      <c r="K1671" s="1275"/>
      <c r="L1671" s="1276"/>
      <c r="M1671" s="50"/>
      <c r="N1671" s="50"/>
      <c r="O1671" s="572"/>
      <c r="P1671" s="384"/>
      <c r="Q1671" s="396"/>
      <c r="R1671" s="396"/>
      <c r="S1671" s="396"/>
      <c r="T1671" s="396"/>
      <c r="U1671" s="396"/>
    </row>
    <row r="1672" spans="1:23" ht="30" customHeight="1" x14ac:dyDescent="0.35">
      <c r="A1672" s="1654" t="s">
        <v>202</v>
      </c>
      <c r="B1672" s="1655"/>
      <c r="C1672" s="1656"/>
      <c r="D1672" s="1274" t="s">
        <v>893</v>
      </c>
      <c r="E1672" s="1275"/>
      <c r="F1672" s="1275"/>
      <c r="G1672" s="1275"/>
      <c r="H1672" s="1275"/>
      <c r="I1672" s="1275"/>
      <c r="J1672" s="1275"/>
      <c r="K1672" s="1275"/>
      <c r="L1672" s="1276"/>
      <c r="M1672" s="50"/>
      <c r="N1672" s="50"/>
      <c r="O1672" s="572"/>
      <c r="P1672" s="384"/>
      <c r="Q1672" s="396"/>
      <c r="R1672" s="396"/>
      <c r="S1672" s="396"/>
      <c r="T1672" s="396"/>
      <c r="U1672" s="396"/>
    </row>
    <row r="1673" spans="1:23" ht="30" customHeight="1" x14ac:dyDescent="0.35">
      <c r="A1673" s="1654" t="s">
        <v>203</v>
      </c>
      <c r="B1673" s="1655"/>
      <c r="C1673" s="1656"/>
      <c r="D1673" s="1274" t="s">
        <v>894</v>
      </c>
      <c r="E1673" s="1275"/>
      <c r="F1673" s="1275"/>
      <c r="G1673" s="1275"/>
      <c r="H1673" s="1275"/>
      <c r="I1673" s="1275"/>
      <c r="J1673" s="1275"/>
      <c r="K1673" s="1275"/>
      <c r="L1673" s="1276"/>
      <c r="M1673" s="50"/>
      <c r="N1673" s="50"/>
      <c r="V1673" s="396"/>
      <c r="W1673" s="396"/>
    </row>
    <row r="1674" spans="1:23" ht="30" customHeight="1" x14ac:dyDescent="0.35">
      <c r="A1674" s="1654" t="s">
        <v>205</v>
      </c>
      <c r="B1674" s="1655"/>
      <c r="C1674" s="1656"/>
      <c r="D1674" s="1274" t="s">
        <v>895</v>
      </c>
      <c r="E1674" s="1275"/>
      <c r="F1674" s="1275"/>
      <c r="G1674" s="1275"/>
      <c r="H1674" s="1275"/>
      <c r="I1674" s="1275"/>
      <c r="J1674" s="1275"/>
      <c r="K1674" s="1275"/>
      <c r="L1674" s="1276"/>
      <c r="M1674" s="50"/>
      <c r="N1674" s="50"/>
    </row>
    <row r="1675" spans="1:23" ht="30" customHeight="1" x14ac:dyDescent="0.35">
      <c r="A1675" s="1654" t="s">
        <v>207</v>
      </c>
      <c r="B1675" s="1655"/>
      <c r="C1675" s="1656"/>
      <c r="D1675" s="1274" t="s">
        <v>287</v>
      </c>
      <c r="E1675" s="1275"/>
      <c r="F1675" s="1275"/>
      <c r="G1675" s="1275"/>
      <c r="H1675" s="1275"/>
      <c r="I1675" s="1275"/>
      <c r="J1675" s="1275"/>
      <c r="K1675" s="1275"/>
      <c r="L1675" s="1276"/>
      <c r="M1675" s="50"/>
      <c r="N1675" s="50"/>
      <c r="T1675" s="10"/>
      <c r="U1675" s="10"/>
    </row>
    <row r="1676" spans="1:23" ht="30" customHeight="1" x14ac:dyDescent="0.35">
      <c r="A1676" s="1654" t="s">
        <v>367</v>
      </c>
      <c r="B1676" s="1655"/>
      <c r="C1676" s="1656"/>
      <c r="D1676" s="1545" t="s">
        <v>829</v>
      </c>
      <c r="E1676" s="1546"/>
      <c r="F1676" s="1546"/>
      <c r="G1676" s="1546"/>
      <c r="H1676" s="1546"/>
      <c r="I1676" s="1546"/>
      <c r="J1676" s="1546"/>
      <c r="K1676" s="1546"/>
      <c r="L1676" s="1547"/>
      <c r="M1676" s="50"/>
      <c r="N1676" s="50"/>
      <c r="O1676" s="572"/>
      <c r="P1676" s="384"/>
      <c r="Q1676" s="396"/>
      <c r="R1676" s="396"/>
      <c r="S1676" s="396"/>
      <c r="T1676" s="396"/>
      <c r="U1676" s="396"/>
    </row>
    <row r="1677" spans="1:23" ht="30" customHeight="1" thickBot="1" x14ac:dyDescent="0.4">
      <c r="A1677" s="1534" t="s">
        <v>224</v>
      </c>
      <c r="B1677" s="1535"/>
      <c r="C1677" s="1536"/>
      <c r="D1677" s="1553" t="s">
        <v>2440</v>
      </c>
      <c r="E1677" s="1554"/>
      <c r="F1677" s="1554"/>
      <c r="G1677" s="1554"/>
      <c r="H1677" s="1554"/>
      <c r="I1677" s="1554"/>
      <c r="J1677" s="1554"/>
      <c r="K1677" s="1554"/>
      <c r="L1677" s="1555"/>
      <c r="M1677" s="50"/>
      <c r="N1677" s="50"/>
      <c r="O1677" s="572"/>
      <c r="P1677" s="384"/>
      <c r="Q1677" s="396"/>
      <c r="R1677" s="396"/>
      <c r="S1677" s="396"/>
      <c r="T1677" s="396"/>
      <c r="U1677" s="396"/>
    </row>
    <row r="1678" spans="1:23" ht="30" customHeight="1" thickBot="1" x14ac:dyDescent="0.4">
      <c r="A1678" s="1199"/>
      <c r="B1678" s="1200"/>
      <c r="C1678" s="1200"/>
      <c r="D1678" s="1200"/>
      <c r="E1678" s="1200"/>
      <c r="F1678" s="1200"/>
      <c r="G1678" s="1200"/>
      <c r="H1678" s="1200"/>
      <c r="I1678" s="1200"/>
      <c r="J1678" s="1200"/>
      <c r="K1678" s="1200"/>
      <c r="L1678" s="1201"/>
      <c r="M1678" s="96"/>
      <c r="N1678" s="50"/>
      <c r="V1678" s="396"/>
      <c r="W1678" s="396"/>
    </row>
    <row r="1679" spans="1:23" ht="30" customHeight="1" x14ac:dyDescent="0.35">
      <c r="A1679" s="388" t="s">
        <v>1</v>
      </c>
      <c r="B1679" s="389">
        <v>2131</v>
      </c>
      <c r="C1679" s="1290" t="s">
        <v>896</v>
      </c>
      <c r="D1679" s="1291"/>
      <c r="E1679" s="392" t="s">
        <v>3</v>
      </c>
      <c r="F1679" s="393" t="s">
        <v>108</v>
      </c>
      <c r="G1679" s="390" t="s">
        <v>38</v>
      </c>
      <c r="H1679" s="211">
        <v>82690</v>
      </c>
      <c r="I1679" s="392" t="s">
        <v>5</v>
      </c>
      <c r="J1679" s="1207" t="s">
        <v>897</v>
      </c>
      <c r="K1679" s="1207"/>
      <c r="L1679" s="1208"/>
      <c r="M1679" s="96"/>
      <c r="N1679" s="50"/>
    </row>
    <row r="1680" spans="1:23" ht="30" customHeight="1" x14ac:dyDescent="0.35">
      <c r="A1680" s="185"/>
      <c r="B1680" s="1272" t="s">
        <v>7</v>
      </c>
      <c r="C1680" s="1272"/>
      <c r="D1680" s="1272"/>
      <c r="E1680" s="185" t="s">
        <v>382</v>
      </c>
      <c r="F1680" s="185" t="s">
        <v>9</v>
      </c>
      <c r="G1680" s="503"/>
      <c r="H1680" s="185"/>
      <c r="I1680" s="1221" t="s">
        <v>179</v>
      </c>
      <c r="J1680" s="1222"/>
      <c r="K1680" s="1209" t="s">
        <v>180</v>
      </c>
      <c r="L1680" s="1210"/>
      <c r="M1680" s="96"/>
      <c r="N1680" s="50"/>
      <c r="T1680" s="10"/>
      <c r="U1680" s="10"/>
    </row>
    <row r="1681" spans="1:21" ht="30" customHeight="1" x14ac:dyDescent="0.35">
      <c r="A1681" s="407"/>
      <c r="B1681" s="1265" t="s">
        <v>898</v>
      </c>
      <c r="C1681" s="1265"/>
      <c r="D1681" s="1265"/>
      <c r="E1681" s="497">
        <v>1197.03</v>
      </c>
      <c r="F1681" s="407" t="s">
        <v>108</v>
      </c>
      <c r="H1681" s="757"/>
      <c r="I1681" s="1217">
        <f>+'FY2024 MILCON Inflation Table'!F7</f>
        <v>1.7902092221210504</v>
      </c>
      <c r="J1681" s="1218"/>
      <c r="K1681" s="497">
        <f>+E1681*I1681</f>
        <v>2142.9341451555611</v>
      </c>
      <c r="L1681" s="407" t="s">
        <v>108</v>
      </c>
      <c r="M1681" s="50"/>
      <c r="N1681" s="50"/>
      <c r="T1681" s="10"/>
      <c r="U1681" s="10"/>
    </row>
    <row r="1682" spans="1:21" ht="30" customHeight="1" x14ac:dyDescent="0.35">
      <c r="A1682" s="186"/>
      <c r="B1682" s="1264"/>
      <c r="C1682" s="1264"/>
      <c r="D1682" s="1264"/>
      <c r="E1682" s="503"/>
      <c r="F1682" s="503"/>
      <c r="G1682" s="503"/>
      <c r="H1682" s="503"/>
      <c r="I1682" s="503"/>
      <c r="J1682" s="186" t="s">
        <v>37</v>
      </c>
      <c r="K1682" s="190">
        <f>+K1681</f>
        <v>2142.9341451555611</v>
      </c>
      <c r="L1682" s="186" t="s">
        <v>108</v>
      </c>
      <c r="M1682" s="50"/>
      <c r="N1682" s="50"/>
      <c r="T1682" s="10"/>
      <c r="U1682" s="10"/>
    </row>
    <row r="1683" spans="1:21" ht="30" customHeight="1" x14ac:dyDescent="0.35">
      <c r="A1683" s="186"/>
      <c r="B1683" s="1212" t="s">
        <v>899</v>
      </c>
      <c r="C1683" s="1213"/>
      <c r="D1683" s="1213"/>
      <c r="E1683" s="711"/>
      <c r="F1683" s="711"/>
      <c r="G1683" s="1227" t="s">
        <v>2845</v>
      </c>
      <c r="H1683" s="1227"/>
      <c r="I1683" s="1227"/>
      <c r="J1683" s="560">
        <f>VLOOKUP(B1679,'Mil Cost Premiums for PUCs'!$A$4:$R$285,18,FALSE)</f>
        <v>1.1503866704650523</v>
      </c>
      <c r="K1683" s="212">
        <f>+K1682*J1683</f>
        <v>2465.202876271379</v>
      </c>
      <c r="L1683" s="186" t="s">
        <v>108</v>
      </c>
      <c r="M1683" s="50"/>
      <c r="N1683" s="50"/>
      <c r="P1683" s="842"/>
      <c r="Q1683" s="5"/>
      <c r="U1683" s="35"/>
    </row>
    <row r="1684" spans="1:21" ht="30" customHeight="1" x14ac:dyDescent="0.35">
      <c r="A1684" s="1320" t="s">
        <v>900</v>
      </c>
      <c r="B1684" s="1321"/>
      <c r="C1684" s="1321"/>
      <c r="D1684" s="1321"/>
      <c r="E1684" s="1321"/>
      <c r="F1684" s="1321"/>
      <c r="G1684" s="1321"/>
      <c r="H1684" s="1321"/>
      <c r="I1684" s="1321"/>
      <c r="J1684" s="1321"/>
      <c r="K1684" s="1321"/>
      <c r="L1684" s="1322"/>
      <c r="M1684" s="50"/>
      <c r="N1684" s="50"/>
      <c r="P1684" s="842"/>
      <c r="Q1684" s="5"/>
      <c r="U1684" s="35"/>
    </row>
    <row r="1685" spans="1:21" ht="30" customHeight="1" x14ac:dyDescent="0.35">
      <c r="A1685" s="1394"/>
      <c r="B1685" s="1395"/>
      <c r="C1685" s="1395"/>
      <c r="D1685" s="1395"/>
      <c r="E1685" s="1395"/>
      <c r="F1685" s="1395"/>
      <c r="G1685" s="1395"/>
      <c r="H1685" s="1395"/>
      <c r="I1685" s="1395"/>
      <c r="J1685" s="1395"/>
      <c r="K1685" s="1395"/>
      <c r="L1685" s="1474"/>
      <c r="M1685" s="50"/>
      <c r="N1685" s="50"/>
      <c r="P1685" s="842"/>
      <c r="Q1685" s="5"/>
      <c r="U1685" s="35"/>
    </row>
    <row r="1686" spans="1:21" ht="30" customHeight="1" thickBot="1" x14ac:dyDescent="0.4">
      <c r="A1686" s="1323"/>
      <c r="B1686" s="1324"/>
      <c r="C1686" s="1324"/>
      <c r="D1686" s="1324"/>
      <c r="E1686" s="1324"/>
      <c r="F1686" s="1324"/>
      <c r="G1686" s="1324"/>
      <c r="H1686" s="1324"/>
      <c r="I1686" s="1324"/>
      <c r="J1686" s="1324"/>
      <c r="K1686" s="1324"/>
      <c r="L1686" s="1325"/>
      <c r="M1686" s="50"/>
      <c r="N1686" s="50"/>
      <c r="P1686" s="842"/>
      <c r="Q1686" s="5"/>
      <c r="U1686" s="35"/>
    </row>
    <row r="1687" spans="1:21" ht="30" customHeight="1" thickBot="1" x14ac:dyDescent="0.4">
      <c r="A1687" s="1199"/>
      <c r="B1687" s="1200"/>
      <c r="C1687" s="1200"/>
      <c r="D1687" s="1200"/>
      <c r="E1687" s="1200"/>
      <c r="F1687" s="1200"/>
      <c r="G1687" s="1200"/>
      <c r="H1687" s="1200"/>
      <c r="I1687" s="1200"/>
      <c r="J1687" s="1200"/>
      <c r="K1687" s="1200"/>
      <c r="L1687" s="1201"/>
      <c r="M1687" s="50"/>
      <c r="N1687" s="50"/>
      <c r="P1687" s="842"/>
      <c r="Q1687" s="5"/>
      <c r="U1687" s="35"/>
    </row>
    <row r="1688" spans="1:21" ht="30" customHeight="1" x14ac:dyDescent="0.35">
      <c r="A1688" s="388" t="s">
        <v>1</v>
      </c>
      <c r="B1688" s="389">
        <v>2132</v>
      </c>
      <c r="C1688" s="1290" t="s">
        <v>901</v>
      </c>
      <c r="D1688" s="1291"/>
      <c r="E1688" s="392" t="s">
        <v>3</v>
      </c>
      <c r="F1688" s="393" t="s">
        <v>40</v>
      </c>
      <c r="G1688" s="390" t="s">
        <v>38</v>
      </c>
      <c r="H1688" s="135">
        <v>1</v>
      </c>
      <c r="I1688" s="392" t="s">
        <v>5</v>
      </c>
      <c r="J1688" s="1207" t="s">
        <v>2792</v>
      </c>
      <c r="K1688" s="1207"/>
      <c r="L1688" s="1208"/>
      <c r="M1688" s="97"/>
      <c r="N1688" s="50"/>
      <c r="P1688" s="842"/>
      <c r="Q1688" s="5"/>
      <c r="U1688" s="35"/>
    </row>
    <row r="1689" spans="1:21" ht="30" customHeight="1" x14ac:dyDescent="0.35">
      <c r="A1689" s="185"/>
      <c r="B1689" s="1337" t="s">
        <v>2781</v>
      </c>
      <c r="C1689" s="1337"/>
      <c r="D1689" s="1337"/>
      <c r="E1689" s="185" t="s">
        <v>52</v>
      </c>
      <c r="F1689" s="185" t="s">
        <v>53</v>
      </c>
      <c r="G1689" s="1219" t="s">
        <v>54</v>
      </c>
      <c r="H1689" s="1220"/>
      <c r="I1689" s="185" t="s">
        <v>55</v>
      </c>
      <c r="J1689" s="185" t="s">
        <v>56</v>
      </c>
      <c r="K1689" s="1209" t="s">
        <v>37</v>
      </c>
      <c r="L1689" s="1210"/>
      <c r="M1689" s="97"/>
      <c r="N1689" s="50"/>
      <c r="P1689" s="842"/>
      <c r="Q1689" s="5"/>
      <c r="U1689" s="35"/>
    </row>
    <row r="1690" spans="1:21" ht="30" customHeight="1" thickBot="1" x14ac:dyDescent="0.4">
      <c r="A1690" s="407"/>
      <c r="B1690" s="1562">
        <v>16871.279001999999</v>
      </c>
      <c r="C1690" s="1562"/>
      <c r="D1690" s="1562"/>
      <c r="E1690" s="469"/>
      <c r="F1690" s="188"/>
      <c r="G1690" s="1332"/>
      <c r="H1690" s="1333"/>
      <c r="I1690" s="188"/>
      <c r="J1690" s="570">
        <v>1.1706000000000001</v>
      </c>
      <c r="K1690" s="471">
        <f>B1690*J1690</f>
        <v>19749.5191997412</v>
      </c>
      <c r="L1690" s="188" t="s">
        <v>40</v>
      </c>
      <c r="M1690" s="50"/>
      <c r="N1690" s="50"/>
      <c r="P1690" s="842"/>
      <c r="Q1690" s="5"/>
      <c r="U1690" s="35"/>
    </row>
    <row r="1691" spans="1:21" ht="30" customHeight="1" thickBot="1" x14ac:dyDescent="0.4">
      <c r="A1691" s="1199"/>
      <c r="B1691" s="1200"/>
      <c r="C1691" s="1200"/>
      <c r="D1691" s="1200"/>
      <c r="E1691" s="1200"/>
      <c r="F1691" s="1200"/>
      <c r="G1691" s="1200"/>
      <c r="H1691" s="1200"/>
      <c r="I1691" s="1200"/>
      <c r="J1691" s="1200"/>
      <c r="K1691" s="1200"/>
      <c r="L1691" s="1201"/>
      <c r="M1691" s="50"/>
      <c r="N1691" s="50"/>
      <c r="O1691" s="5"/>
      <c r="P1691" s="9"/>
      <c r="Q1691" s="34"/>
      <c r="R1691" s="5"/>
      <c r="S1691" s="35"/>
    </row>
    <row r="1692" spans="1:21" ht="30" customHeight="1" x14ac:dyDescent="0.35">
      <c r="A1692" s="388" t="s">
        <v>1</v>
      </c>
      <c r="B1692" s="389">
        <v>2133</v>
      </c>
      <c r="C1692" s="1290" t="s">
        <v>902</v>
      </c>
      <c r="D1692" s="1291"/>
      <c r="E1692" s="392" t="s">
        <v>3</v>
      </c>
      <c r="F1692" s="393" t="s">
        <v>108</v>
      </c>
      <c r="G1692" s="390" t="s">
        <v>38</v>
      </c>
      <c r="H1692" s="195">
        <v>15118.729221491199</v>
      </c>
      <c r="I1692" s="392" t="s">
        <v>5</v>
      </c>
      <c r="J1692" s="1207" t="s">
        <v>2470</v>
      </c>
      <c r="K1692" s="1207"/>
      <c r="L1692" s="1208"/>
      <c r="M1692" s="50"/>
      <c r="N1692" s="50"/>
      <c r="O1692" s="5"/>
      <c r="P1692" s="9"/>
      <c r="Q1692" s="34"/>
      <c r="R1692" s="5"/>
      <c r="S1692" s="35"/>
    </row>
    <row r="1693" spans="1:21" ht="30" customHeight="1" x14ac:dyDescent="0.35">
      <c r="A1693" s="185" t="s">
        <v>177</v>
      </c>
      <c r="B1693" s="1272" t="s">
        <v>7</v>
      </c>
      <c r="C1693" s="1272"/>
      <c r="D1693" s="1272"/>
      <c r="E1693" s="492" t="s">
        <v>178</v>
      </c>
      <c r="F1693" s="397" t="s">
        <v>52</v>
      </c>
      <c r="G1693" s="185"/>
      <c r="H1693" s="185"/>
      <c r="I1693" s="1223" t="s">
        <v>56</v>
      </c>
      <c r="J1693" s="1224"/>
      <c r="K1693" s="1209" t="s">
        <v>180</v>
      </c>
      <c r="L1693" s="1210"/>
      <c r="M1693" s="50"/>
      <c r="N1693" s="50"/>
      <c r="O1693" s="5"/>
      <c r="P1693" s="9"/>
      <c r="Q1693" s="34"/>
      <c r="R1693" s="5"/>
      <c r="S1693" s="35"/>
    </row>
    <row r="1694" spans="1:21" ht="30" customHeight="1" x14ac:dyDescent="0.35">
      <c r="A1694" s="401" t="s">
        <v>181</v>
      </c>
      <c r="B1694" s="1265" t="s">
        <v>903</v>
      </c>
      <c r="C1694" s="1265"/>
      <c r="D1694" s="1265"/>
      <c r="E1694" s="531">
        <v>29000</v>
      </c>
      <c r="F1694" s="187">
        <v>458</v>
      </c>
      <c r="G1694" s="532"/>
      <c r="H1694" s="533"/>
      <c r="I1694" s="1217">
        <v>1.0438745311870332</v>
      </c>
      <c r="J1694" s="1218"/>
      <c r="K1694" s="187">
        <f>+F1694*+I1694</f>
        <v>478.09453528366123</v>
      </c>
      <c r="L1694" s="401" t="s">
        <v>108</v>
      </c>
      <c r="M1694" s="50"/>
      <c r="N1694" s="50"/>
      <c r="O1694" s="5"/>
      <c r="P1694" s="9"/>
      <c r="Q1694" s="34"/>
      <c r="R1694" s="5"/>
      <c r="S1694" s="35"/>
    </row>
    <row r="1695" spans="1:21" ht="30" customHeight="1" thickBot="1" x14ac:dyDescent="0.4">
      <c r="A1695" s="186"/>
      <c r="B1695" s="1264"/>
      <c r="C1695" s="1264"/>
      <c r="D1695" s="1264"/>
      <c r="E1695" s="535"/>
      <c r="F1695" s="536"/>
      <c r="G1695" s="536"/>
      <c r="H1695" s="537"/>
      <c r="I1695" s="503"/>
      <c r="J1695" s="494" t="s">
        <v>37</v>
      </c>
      <c r="K1695" s="193">
        <f>+K1694</f>
        <v>478.09453528366123</v>
      </c>
      <c r="L1695" s="186" t="s">
        <v>108</v>
      </c>
      <c r="M1695" s="50"/>
      <c r="N1695" s="50"/>
      <c r="O1695" s="5"/>
      <c r="P1695" s="9"/>
      <c r="Q1695" s="34"/>
      <c r="R1695" s="5"/>
      <c r="S1695" s="35"/>
    </row>
    <row r="1696" spans="1:21" ht="30" customHeight="1" thickBot="1" x14ac:dyDescent="0.4">
      <c r="A1696" s="1199"/>
      <c r="B1696" s="1200"/>
      <c r="C1696" s="1200"/>
      <c r="D1696" s="1200"/>
      <c r="E1696" s="1200"/>
      <c r="F1696" s="1200"/>
      <c r="G1696" s="1200"/>
      <c r="H1696" s="1200"/>
      <c r="I1696" s="1200"/>
      <c r="J1696" s="1200"/>
      <c r="K1696" s="1200"/>
      <c r="L1696" s="1201"/>
      <c r="M1696" s="50"/>
      <c r="N1696" s="50"/>
      <c r="O1696" s="5"/>
      <c r="P1696" s="9"/>
      <c r="Q1696" s="34"/>
      <c r="R1696" s="5"/>
      <c r="S1696" s="35"/>
    </row>
    <row r="1697" spans="1:19" ht="30" customHeight="1" x14ac:dyDescent="0.35">
      <c r="A1697" s="455" t="s">
        <v>1</v>
      </c>
      <c r="B1697" s="439">
        <v>2134</v>
      </c>
      <c r="C1697" s="1658" t="s">
        <v>904</v>
      </c>
      <c r="D1697" s="1659"/>
      <c r="E1697" s="456" t="s">
        <v>3</v>
      </c>
      <c r="F1697" s="457" t="s">
        <v>108</v>
      </c>
      <c r="G1697" s="468" t="s">
        <v>38</v>
      </c>
      <c r="H1697" s="879">
        <v>12764.7599473684</v>
      </c>
      <c r="I1697" s="887" t="s">
        <v>5</v>
      </c>
      <c r="J1697" s="1207" t="s">
        <v>2481</v>
      </c>
      <c r="K1697" s="1207"/>
      <c r="L1697" s="1208"/>
      <c r="M1697" s="50"/>
      <c r="N1697" s="50"/>
      <c r="O1697" s="5"/>
      <c r="P1697" s="9"/>
      <c r="Q1697" s="34"/>
      <c r="R1697" s="5"/>
      <c r="S1697" s="35"/>
    </row>
    <row r="1698" spans="1:19" ht="30" customHeight="1" x14ac:dyDescent="0.35">
      <c r="A1698" s="494" t="s">
        <v>187</v>
      </c>
      <c r="B1698" s="563" t="s">
        <v>211</v>
      </c>
      <c r="C1698" s="564"/>
      <c r="D1698" s="565"/>
      <c r="E1698" s="566" t="s">
        <v>52</v>
      </c>
      <c r="F1698" s="566" t="s">
        <v>53</v>
      </c>
      <c r="G1698" s="1209" t="s">
        <v>54</v>
      </c>
      <c r="H1698" s="1210"/>
      <c r="I1698" s="1225" t="s">
        <v>188</v>
      </c>
      <c r="J1698" s="1226"/>
      <c r="K1698" s="1209" t="s">
        <v>180</v>
      </c>
      <c r="L1698" s="1210"/>
      <c r="M1698" s="50"/>
      <c r="N1698" s="50"/>
      <c r="O1698" s="5"/>
      <c r="P1698" s="9"/>
      <c r="Q1698" s="34"/>
      <c r="R1698" s="5"/>
      <c r="S1698" s="35"/>
    </row>
    <row r="1699" spans="1:19" ht="30" customHeight="1" x14ac:dyDescent="0.35">
      <c r="A1699" s="186" t="s">
        <v>842</v>
      </c>
      <c r="B1699" s="1212" t="s">
        <v>2715</v>
      </c>
      <c r="C1699" s="1213"/>
      <c r="D1699" s="1214"/>
      <c r="E1699" s="209">
        <f>187-3.15</f>
        <v>183.85</v>
      </c>
      <c r="F1699" s="186" t="s">
        <v>108</v>
      </c>
      <c r="G1699" s="186"/>
      <c r="H1699" s="186"/>
      <c r="I1699" s="1372">
        <v>1.1399999999999999</v>
      </c>
      <c r="J1699" s="1373"/>
      <c r="K1699" s="888">
        <f>+E1699*I1699</f>
        <v>209.58899999999997</v>
      </c>
      <c r="L1699" s="889" t="s">
        <v>108</v>
      </c>
      <c r="M1699" s="50"/>
      <c r="N1699" s="50"/>
      <c r="O1699" s="5"/>
      <c r="P1699" s="9"/>
      <c r="Q1699" s="34"/>
      <c r="R1699" s="5"/>
      <c r="S1699" s="35"/>
    </row>
    <row r="1700" spans="1:19" ht="30" customHeight="1" x14ac:dyDescent="0.35">
      <c r="A1700" s="186" t="s">
        <v>249</v>
      </c>
      <c r="B1700" s="1212" t="s">
        <v>286</v>
      </c>
      <c r="C1700" s="1213"/>
      <c r="D1700" s="1214"/>
      <c r="E1700" s="340">
        <v>3.84</v>
      </c>
      <c r="F1700" s="186" t="s">
        <v>108</v>
      </c>
      <c r="G1700" s="503"/>
      <c r="H1700" s="534"/>
      <c r="I1700" s="1372">
        <v>1.1399999999999999</v>
      </c>
      <c r="J1700" s="1373"/>
      <c r="K1700" s="888">
        <f>+E1700*I1700</f>
        <v>4.3775999999999993</v>
      </c>
      <c r="L1700" s="889" t="s">
        <v>108</v>
      </c>
      <c r="M1700" s="50"/>
      <c r="N1700" s="50"/>
      <c r="O1700" s="5"/>
      <c r="P1700" s="9"/>
      <c r="Q1700" s="34"/>
      <c r="R1700" s="5"/>
      <c r="S1700" s="35"/>
    </row>
    <row r="1701" spans="1:19" ht="30" customHeight="1" x14ac:dyDescent="0.35">
      <c r="A1701" s="186" t="s">
        <v>333</v>
      </c>
      <c r="B1701" s="1212" t="s">
        <v>906</v>
      </c>
      <c r="C1701" s="1213"/>
      <c r="D1701" s="1214"/>
      <c r="E1701" s="209">
        <v>204000</v>
      </c>
      <c r="F1701" s="127" t="s">
        <v>40</v>
      </c>
      <c r="G1701" s="875">
        <f>+H1697</f>
        <v>12764.7599473684</v>
      </c>
      <c r="H1701" s="188" t="s">
        <v>448</v>
      </c>
      <c r="I1701" s="1372">
        <v>1.26</v>
      </c>
      <c r="J1701" s="1373"/>
      <c r="K1701" s="888">
        <f>+E1701/G1701*I1701</f>
        <v>20.136688904438952</v>
      </c>
      <c r="L1701" s="889" t="s">
        <v>108</v>
      </c>
      <c r="M1701" s="50"/>
      <c r="N1701" s="50"/>
      <c r="O1701" s="5"/>
      <c r="P1701" s="9"/>
      <c r="Q1701" s="34"/>
      <c r="R1701" s="5"/>
      <c r="S1701" s="35"/>
    </row>
    <row r="1702" spans="1:19" ht="30" customHeight="1" x14ac:dyDescent="0.35">
      <c r="A1702" s="186" t="s">
        <v>274</v>
      </c>
      <c r="B1702" s="1212" t="s">
        <v>907</v>
      </c>
      <c r="C1702" s="1213"/>
      <c r="D1702" s="1214"/>
      <c r="E1702" s="341">
        <v>51.5</v>
      </c>
      <c r="F1702" s="127" t="s">
        <v>108</v>
      </c>
      <c r="G1702" s="503">
        <v>288</v>
      </c>
      <c r="H1702" s="188" t="s">
        <v>2714</v>
      </c>
      <c r="I1702" s="1372">
        <v>1.1399999999999999</v>
      </c>
      <c r="J1702" s="1373"/>
      <c r="K1702" s="888">
        <f>+E1702*G1702/H1697*I1702</f>
        <v>1.3246218549911604</v>
      </c>
      <c r="L1702" s="889" t="s">
        <v>108</v>
      </c>
      <c r="M1702" s="50"/>
      <c r="N1702" s="50"/>
      <c r="O1702" s="5"/>
      <c r="P1702" s="9"/>
      <c r="Q1702" s="34"/>
      <c r="R1702" s="5"/>
      <c r="S1702" s="35"/>
    </row>
    <row r="1703" spans="1:19" ht="30" customHeight="1" x14ac:dyDescent="0.35">
      <c r="A1703" s="186"/>
      <c r="B1703" s="552"/>
      <c r="C1703" s="553"/>
      <c r="D1703" s="554"/>
      <c r="E1703" s="194"/>
      <c r="F1703" s="503"/>
      <c r="G1703" s="534"/>
      <c r="H1703" s="186"/>
      <c r="I1703" s="186"/>
      <c r="J1703" s="194" t="s">
        <v>251</v>
      </c>
      <c r="K1703" s="888">
        <f>SUM(K1699:K1702)</f>
        <v>235.42791075943009</v>
      </c>
      <c r="L1703" s="889" t="s">
        <v>108</v>
      </c>
      <c r="M1703" s="50"/>
      <c r="N1703" s="50"/>
      <c r="O1703" s="5"/>
      <c r="P1703" s="9"/>
      <c r="Q1703" s="34"/>
      <c r="R1703" s="5"/>
      <c r="S1703" s="35"/>
    </row>
    <row r="1704" spans="1:19" ht="30" customHeight="1" x14ac:dyDescent="0.35">
      <c r="A1704" s="186"/>
      <c r="B1704" s="567"/>
      <c r="C1704" s="567"/>
      <c r="D1704" s="567"/>
      <c r="E1704" s="567"/>
      <c r="F1704" s="1215" t="s">
        <v>195</v>
      </c>
      <c r="G1704" s="1273" t="s">
        <v>196</v>
      </c>
      <c r="H1704" s="1273"/>
      <c r="I1704" s="1273"/>
      <c r="J1704" s="1273"/>
      <c r="K1704" s="196">
        <v>1.08</v>
      </c>
      <c r="L1704" s="186"/>
      <c r="M1704" s="50"/>
      <c r="N1704" s="50"/>
      <c r="O1704" s="5"/>
      <c r="P1704" s="9"/>
      <c r="Q1704" s="34"/>
      <c r="R1704" s="5"/>
      <c r="S1704" s="35"/>
    </row>
    <row r="1705" spans="1:19" ht="30" customHeight="1" x14ac:dyDescent="0.35">
      <c r="A1705" s="186"/>
      <c r="B1705" s="567"/>
      <c r="C1705" s="567"/>
      <c r="D1705" s="567"/>
      <c r="E1705" s="567"/>
      <c r="F1705" s="1216"/>
      <c r="G1705" s="1268" t="s">
        <v>2477</v>
      </c>
      <c r="H1705" s="1268"/>
      <c r="I1705" s="1268"/>
      <c r="J1705" s="1268"/>
      <c r="K1705" s="196">
        <v>1.05</v>
      </c>
      <c r="L1705" s="186"/>
      <c r="M1705" s="50"/>
      <c r="N1705" s="50"/>
      <c r="O1705" s="5"/>
      <c r="P1705" s="9"/>
      <c r="Q1705" s="34"/>
      <c r="R1705" s="5"/>
      <c r="S1705" s="35"/>
    </row>
    <row r="1706" spans="1:19" ht="30" customHeight="1" x14ac:dyDescent="0.35">
      <c r="A1706" s="186"/>
      <c r="B1706" s="1564"/>
      <c r="C1706" s="1565"/>
      <c r="D1706" s="1566"/>
      <c r="E1706" s="503"/>
      <c r="F1706" s="503"/>
      <c r="G1706" s="503"/>
      <c r="H1706" s="503"/>
      <c r="I1706" s="503"/>
      <c r="J1706" s="194" t="s">
        <v>37</v>
      </c>
      <c r="K1706" s="888">
        <f>+K1703*K1704/K1705</f>
        <v>242.1544224954138</v>
      </c>
      <c r="L1706" s="889" t="s">
        <v>108</v>
      </c>
      <c r="M1706" s="50"/>
      <c r="N1706" s="50"/>
      <c r="O1706" s="5"/>
      <c r="P1706" s="9"/>
      <c r="Q1706" s="34"/>
      <c r="R1706" s="5"/>
      <c r="S1706" s="35"/>
    </row>
    <row r="1707" spans="1:19" ht="30" customHeight="1" x14ac:dyDescent="0.35">
      <c r="A1707" s="127"/>
      <c r="B1707" s="716"/>
      <c r="C1707" s="711"/>
      <c r="D1707" s="711"/>
      <c r="E1707" s="711"/>
      <c r="F1707" s="503"/>
      <c r="G1707" s="881"/>
      <c r="H1707" s="881"/>
      <c r="I1707" s="880" t="s">
        <v>257</v>
      </c>
      <c r="J1707" s="560">
        <f>VLOOKUP(B1697,'Mil Cost Premiums for PUCs'!$A$4:$R$285,18,FALSE)</f>
        <v>1.12897214704308</v>
      </c>
      <c r="K1707" s="658">
        <f>+K1706*J1707</f>
        <v>273.38559828062444</v>
      </c>
      <c r="L1707" s="889" t="s">
        <v>108</v>
      </c>
      <c r="M1707" s="50"/>
      <c r="N1707" s="50"/>
      <c r="O1707" s="5"/>
      <c r="P1707" s="9"/>
      <c r="Q1707" s="34"/>
      <c r="R1707" s="5"/>
      <c r="S1707" s="35"/>
    </row>
    <row r="1708" spans="1:19" ht="30" customHeight="1" thickBot="1" x14ac:dyDescent="0.4">
      <c r="A1708" s="127"/>
      <c r="B1708" s="716"/>
      <c r="C1708" s="711"/>
      <c r="D1708" s="711"/>
      <c r="E1708" s="711"/>
      <c r="F1708" s="503"/>
      <c r="G1708" s="881"/>
      <c r="H1708" s="881"/>
      <c r="I1708" s="880" t="s">
        <v>3000</v>
      </c>
      <c r="J1708" s="560">
        <v>1.0438745311870361</v>
      </c>
      <c r="K1708" s="658">
        <f>+K1707*J1708</f>
        <v>285.38026323847424</v>
      </c>
      <c r="L1708" s="889" t="s">
        <v>108</v>
      </c>
      <c r="M1708" s="50"/>
      <c r="N1708" s="50"/>
      <c r="O1708" s="5"/>
      <c r="P1708" s="9"/>
      <c r="Q1708" s="34"/>
      <c r="R1708" s="5"/>
      <c r="S1708" s="35"/>
    </row>
    <row r="1709" spans="1:19" ht="30" customHeight="1" thickBot="1" x14ac:dyDescent="0.4">
      <c r="A1709" s="1199"/>
      <c r="B1709" s="1200"/>
      <c r="C1709" s="1200"/>
      <c r="D1709" s="1200"/>
      <c r="E1709" s="1200"/>
      <c r="F1709" s="1200"/>
      <c r="G1709" s="1200"/>
      <c r="H1709" s="1200"/>
      <c r="I1709" s="1200"/>
      <c r="J1709" s="1200"/>
      <c r="K1709" s="1200"/>
      <c r="L1709" s="1201"/>
      <c r="M1709" s="50"/>
      <c r="N1709" s="50"/>
      <c r="O1709" s="507"/>
      <c r="P1709" s="9"/>
      <c r="Q1709" s="34"/>
      <c r="R1709" s="5"/>
      <c r="S1709" s="35"/>
    </row>
    <row r="1710" spans="1:19" ht="30" customHeight="1" x14ac:dyDescent="0.35">
      <c r="A1710" s="388" t="s">
        <v>1</v>
      </c>
      <c r="B1710" s="389">
        <v>2135</v>
      </c>
      <c r="C1710" s="1290" t="s">
        <v>908</v>
      </c>
      <c r="D1710" s="1291"/>
      <c r="E1710" s="392" t="s">
        <v>3</v>
      </c>
      <c r="F1710" s="393" t="s">
        <v>40</v>
      </c>
      <c r="G1710" s="529" t="s">
        <v>2</v>
      </c>
      <c r="H1710" s="660">
        <v>5936</v>
      </c>
      <c r="I1710" s="392" t="s">
        <v>5</v>
      </c>
      <c r="J1710" s="1207" t="s">
        <v>184</v>
      </c>
      <c r="K1710" s="1207"/>
      <c r="L1710" s="1208"/>
      <c r="M1710" s="50"/>
      <c r="N1710" s="50"/>
      <c r="O1710" s="507"/>
      <c r="P1710" s="9"/>
      <c r="Q1710" s="34"/>
      <c r="R1710" s="5"/>
      <c r="S1710" s="35"/>
    </row>
    <row r="1711" spans="1:19" ht="30" customHeight="1" x14ac:dyDescent="0.35">
      <c r="A1711" s="185" t="s">
        <v>177</v>
      </c>
      <c r="B1711" s="1272" t="s">
        <v>7</v>
      </c>
      <c r="C1711" s="1272"/>
      <c r="D1711" s="1272"/>
      <c r="E1711" s="492" t="s">
        <v>178</v>
      </c>
      <c r="F1711" s="397" t="s">
        <v>52</v>
      </c>
      <c r="G1711" s="1221" t="s">
        <v>54</v>
      </c>
      <c r="H1711" s="1222"/>
      <c r="I1711" s="1221" t="s">
        <v>179</v>
      </c>
      <c r="J1711" s="1222"/>
      <c r="K1711" s="1209" t="s">
        <v>180</v>
      </c>
      <c r="L1711" s="1210"/>
      <c r="M1711" s="50"/>
      <c r="N1711" s="50"/>
      <c r="O1711" s="5"/>
      <c r="P1711" s="9"/>
      <c r="Q1711" s="34"/>
      <c r="R1711" s="5"/>
      <c r="S1711" s="35"/>
    </row>
    <row r="1712" spans="1:19" ht="30" customHeight="1" x14ac:dyDescent="0.35">
      <c r="A1712" s="186">
        <v>14962</v>
      </c>
      <c r="B1712" s="1202" t="s">
        <v>369</v>
      </c>
      <c r="C1712" s="1203"/>
      <c r="D1712" s="1204"/>
      <c r="E1712" s="890">
        <v>1</v>
      </c>
      <c r="F1712" s="187">
        <v>6777000</v>
      </c>
      <c r="G1712" s="891"/>
      <c r="H1712" s="533"/>
      <c r="I1712" s="1217">
        <f>+'FY2024 MILCON Inflation Table'!F15</f>
        <v>1.3402943931789864</v>
      </c>
      <c r="J1712" s="1218"/>
      <c r="K1712" s="187">
        <f>+F1712*I1712</f>
        <v>9083175.1025739908</v>
      </c>
      <c r="L1712" s="401" t="s">
        <v>40</v>
      </c>
      <c r="M1712" s="50"/>
      <c r="N1712" s="50"/>
      <c r="O1712" s="5"/>
      <c r="P1712" s="9"/>
      <c r="Q1712" s="34"/>
      <c r="R1712" s="5"/>
      <c r="S1712" s="35"/>
    </row>
    <row r="1713" spans="1:25" ht="30" customHeight="1" thickBot="1" x14ac:dyDescent="0.4">
      <c r="A1713" s="186"/>
      <c r="B1713" s="1264" t="s">
        <v>2553</v>
      </c>
      <c r="C1713" s="1264"/>
      <c r="D1713" s="1264"/>
      <c r="E1713" s="652"/>
      <c r="F1713" s="653"/>
      <c r="G1713" s="653"/>
      <c r="H1713" s="654"/>
      <c r="I1713" s="503"/>
      <c r="J1713" s="494" t="s">
        <v>37</v>
      </c>
      <c r="K1713" s="193">
        <f>+K1712</f>
        <v>9083175.1025739908</v>
      </c>
      <c r="L1713" s="186" t="s">
        <v>40</v>
      </c>
      <c r="M1713" s="50"/>
      <c r="N1713" s="50"/>
      <c r="O1713" s="5"/>
      <c r="P1713" s="9"/>
      <c r="Q1713" s="34"/>
      <c r="R1713" s="5"/>
      <c r="S1713" s="35"/>
    </row>
    <row r="1714" spans="1:25" ht="31.5" customHeight="1" thickBot="1" x14ac:dyDescent="0.4">
      <c r="A1714" s="1199"/>
      <c r="B1714" s="1200"/>
      <c r="C1714" s="1200"/>
      <c r="D1714" s="1200"/>
      <c r="E1714" s="1200"/>
      <c r="F1714" s="1200"/>
      <c r="G1714" s="1200"/>
      <c r="H1714" s="1200"/>
      <c r="I1714" s="1200"/>
      <c r="J1714" s="1200"/>
      <c r="K1714" s="1200"/>
      <c r="L1714" s="1201"/>
      <c r="M1714" s="50"/>
      <c r="N1714" s="50"/>
      <c r="O1714" s="5"/>
      <c r="P1714" s="9"/>
      <c r="Q1714" s="34"/>
      <c r="R1714" s="5"/>
      <c r="S1714" s="35"/>
    </row>
    <row r="1715" spans="1:25" ht="30" customHeight="1" x14ac:dyDescent="0.35">
      <c r="A1715" s="388" t="s">
        <v>1</v>
      </c>
      <c r="B1715" s="389">
        <v>2136</v>
      </c>
      <c r="C1715" s="1290" t="s">
        <v>909</v>
      </c>
      <c r="D1715" s="1291"/>
      <c r="E1715" s="392" t="s">
        <v>3</v>
      </c>
      <c r="F1715" s="393" t="s">
        <v>108</v>
      </c>
      <c r="G1715" s="529" t="s">
        <v>38</v>
      </c>
      <c r="H1715" s="660">
        <v>20692</v>
      </c>
      <c r="I1715" s="392" t="s">
        <v>5</v>
      </c>
      <c r="J1715" s="1207" t="s">
        <v>910</v>
      </c>
      <c r="K1715" s="1207"/>
      <c r="L1715" s="1208"/>
      <c r="M1715" s="50"/>
      <c r="O1715" s="5"/>
      <c r="P1715" s="9"/>
      <c r="Q1715" s="34"/>
      <c r="R1715" s="5"/>
      <c r="S1715" s="35"/>
    </row>
    <row r="1716" spans="1:25" ht="30" customHeight="1" x14ac:dyDescent="0.35">
      <c r="A1716" s="185" t="s">
        <v>177</v>
      </c>
      <c r="B1716" s="1272" t="s">
        <v>7</v>
      </c>
      <c r="C1716" s="1272"/>
      <c r="D1716" s="1272"/>
      <c r="E1716" s="492" t="s">
        <v>911</v>
      </c>
      <c r="F1716" s="397"/>
      <c r="G1716" s="1221"/>
      <c r="H1716" s="1222"/>
      <c r="I1716" s="1221"/>
      <c r="J1716" s="1222"/>
      <c r="K1716" s="1209" t="s">
        <v>180</v>
      </c>
      <c r="L1716" s="1210"/>
      <c r="M1716" s="50"/>
      <c r="N1716" s="96"/>
      <c r="O1716" s="5"/>
      <c r="P1716" s="9"/>
      <c r="Q1716" s="34"/>
      <c r="R1716" s="5"/>
      <c r="S1716" s="35"/>
    </row>
    <row r="1717" spans="1:25" ht="30" customHeight="1" x14ac:dyDescent="0.35">
      <c r="A1717" s="186">
        <v>21365</v>
      </c>
      <c r="B1717" s="1202" t="s">
        <v>912</v>
      </c>
      <c r="C1717" s="1203"/>
      <c r="D1717" s="1204"/>
      <c r="E1717" s="892">
        <f>+K1579</f>
        <v>338.80308260701929</v>
      </c>
      <c r="F1717" s="187"/>
      <c r="G1717" s="891"/>
      <c r="H1717" s="533"/>
      <c r="I1717" s="1217"/>
      <c r="J1717" s="1218"/>
      <c r="K1717" s="187">
        <f>E1717</f>
        <v>338.80308260701929</v>
      </c>
      <c r="L1717" s="401" t="s">
        <v>108</v>
      </c>
      <c r="M1717" s="50"/>
      <c r="N1717" s="50"/>
      <c r="O1717" s="5"/>
      <c r="P1717" s="9"/>
      <c r="Q1717" s="34"/>
      <c r="R1717" s="5"/>
      <c r="S1717" s="35"/>
    </row>
    <row r="1718" spans="1:25" ht="30" customHeight="1" thickBot="1" x14ac:dyDescent="0.4">
      <c r="A1718" s="186"/>
      <c r="B1718" s="1264"/>
      <c r="C1718" s="1264"/>
      <c r="D1718" s="1264"/>
      <c r="E1718" s="652"/>
      <c r="F1718" s="653"/>
      <c r="G1718" s="653"/>
      <c r="H1718" s="654"/>
      <c r="I1718" s="503"/>
      <c r="J1718" s="494" t="s">
        <v>37</v>
      </c>
      <c r="K1718" s="193">
        <f>+K1717</f>
        <v>338.80308260701929</v>
      </c>
      <c r="L1718" s="186" t="s">
        <v>108</v>
      </c>
      <c r="M1718" s="50"/>
      <c r="N1718" s="50"/>
      <c r="O1718" s="5"/>
      <c r="P1718" s="9"/>
      <c r="Q1718" s="34"/>
      <c r="R1718" s="5"/>
      <c r="S1718" s="35"/>
    </row>
    <row r="1719" spans="1:25" ht="30" customHeight="1" thickBot="1" x14ac:dyDescent="0.4">
      <c r="A1719" s="1199"/>
      <c r="B1719" s="1200"/>
      <c r="C1719" s="1200"/>
      <c r="D1719" s="1200"/>
      <c r="E1719" s="1200"/>
      <c r="F1719" s="1200"/>
      <c r="G1719" s="1200"/>
      <c r="H1719" s="1200"/>
      <c r="I1719" s="1200"/>
      <c r="J1719" s="1200"/>
      <c r="K1719" s="1200"/>
      <c r="L1719" s="1201"/>
      <c r="M1719" s="50"/>
      <c r="N1719" s="50"/>
      <c r="O1719" s="5"/>
      <c r="P1719" s="9"/>
      <c r="Q1719" s="34"/>
      <c r="R1719" s="5"/>
      <c r="S1719" s="35"/>
    </row>
    <row r="1720" spans="1:25" ht="30" customHeight="1" x14ac:dyDescent="0.35">
      <c r="A1720" s="388" t="s">
        <v>1</v>
      </c>
      <c r="B1720" s="389">
        <v>2137</v>
      </c>
      <c r="C1720" s="1290" t="s">
        <v>913</v>
      </c>
      <c r="D1720" s="1291"/>
      <c r="E1720" s="392" t="s">
        <v>3</v>
      </c>
      <c r="F1720" s="393" t="s">
        <v>40</v>
      </c>
      <c r="G1720" s="390" t="s">
        <v>2</v>
      </c>
      <c r="H1720" s="135">
        <v>1</v>
      </c>
      <c r="I1720" s="392" t="s">
        <v>5</v>
      </c>
      <c r="J1720" s="1207" t="s">
        <v>2794</v>
      </c>
      <c r="K1720" s="1207"/>
      <c r="L1720" s="1208"/>
      <c r="M1720" s="50"/>
      <c r="N1720" s="50"/>
      <c r="O1720" s="5"/>
      <c r="P1720" s="9"/>
      <c r="Q1720" s="34"/>
      <c r="R1720" s="5"/>
      <c r="S1720" s="35"/>
    </row>
    <row r="1721" spans="1:25" ht="30" customHeight="1" x14ac:dyDescent="0.35">
      <c r="A1721" s="185" t="s">
        <v>177</v>
      </c>
      <c r="B1721" s="1272" t="s">
        <v>7</v>
      </c>
      <c r="C1721" s="1272"/>
      <c r="D1721" s="1272"/>
      <c r="E1721" s="492" t="s">
        <v>178</v>
      </c>
      <c r="F1721" s="397" t="s">
        <v>2793</v>
      </c>
      <c r="G1721" s="1221"/>
      <c r="H1721" s="1222"/>
      <c r="I1721" s="1221" t="s">
        <v>179</v>
      </c>
      <c r="J1721" s="1222"/>
      <c r="K1721" s="1209" t="s">
        <v>180</v>
      </c>
      <c r="L1721" s="1210"/>
      <c r="M1721" s="50"/>
      <c r="N1721" s="96"/>
      <c r="O1721" s="5"/>
      <c r="P1721" s="9"/>
      <c r="Q1721" s="34"/>
      <c r="R1721" s="5"/>
      <c r="S1721" s="35"/>
    </row>
    <row r="1722" spans="1:25" ht="30" customHeight="1" x14ac:dyDescent="0.35">
      <c r="A1722" s="186">
        <v>21340</v>
      </c>
      <c r="B1722" s="1202" t="s">
        <v>913</v>
      </c>
      <c r="C1722" s="1203"/>
      <c r="D1722" s="1204"/>
      <c r="E1722" s="890">
        <v>1</v>
      </c>
      <c r="F1722" s="187">
        <v>6987423.4888319997</v>
      </c>
      <c r="G1722" s="891"/>
      <c r="H1722" s="533"/>
      <c r="I1722" s="1217">
        <f>+'FY2024 MILCON Inflation Table'!F18</f>
        <v>1.1706170972389343</v>
      </c>
      <c r="J1722" s="1218"/>
      <c r="K1722" s="187">
        <f>F1722*I1722</f>
        <v>8179597.401675662</v>
      </c>
      <c r="L1722" s="401" t="s">
        <v>40</v>
      </c>
      <c r="M1722" s="50"/>
      <c r="N1722" s="50"/>
      <c r="O1722" s="5"/>
      <c r="P1722" s="9"/>
      <c r="Q1722" s="34"/>
      <c r="R1722" s="5"/>
      <c r="S1722" s="35"/>
      <c r="X1722" s="396"/>
      <c r="Y1722" s="396"/>
    </row>
    <row r="1723" spans="1:25" s="396" customFormat="1" ht="30" customHeight="1" thickBot="1" x14ac:dyDescent="0.4">
      <c r="A1723" s="186"/>
      <c r="B1723" s="1264"/>
      <c r="C1723" s="1264"/>
      <c r="D1723" s="1264"/>
      <c r="E1723" s="652"/>
      <c r="F1723" s="653"/>
      <c r="G1723" s="653"/>
      <c r="H1723" s="654"/>
      <c r="I1723" s="503"/>
      <c r="J1723" s="494" t="s">
        <v>37</v>
      </c>
      <c r="K1723" s="193">
        <f>+K1722</f>
        <v>8179597.401675662</v>
      </c>
      <c r="L1723" s="186" t="s">
        <v>40</v>
      </c>
      <c r="M1723" s="50"/>
      <c r="N1723" s="50"/>
      <c r="O1723" s="5"/>
      <c r="P1723" s="9"/>
      <c r="Q1723" s="34"/>
      <c r="R1723" s="5"/>
      <c r="S1723" s="35"/>
      <c r="T1723" s="9"/>
      <c r="U1723" s="9"/>
      <c r="V1723" s="9"/>
      <c r="W1723" s="9"/>
      <c r="X1723" s="9"/>
      <c r="Y1723" s="9"/>
    </row>
    <row r="1724" spans="1:25" ht="30" customHeight="1" thickBot="1" x14ac:dyDescent="0.4">
      <c r="A1724" s="1199"/>
      <c r="B1724" s="1200"/>
      <c r="C1724" s="1200"/>
      <c r="D1724" s="1200"/>
      <c r="E1724" s="1200"/>
      <c r="F1724" s="1200"/>
      <c r="G1724" s="1200"/>
      <c r="H1724" s="1200"/>
      <c r="I1724" s="1200"/>
      <c r="J1724" s="1200"/>
      <c r="K1724" s="1200"/>
      <c r="L1724" s="1201"/>
      <c r="M1724" s="50"/>
      <c r="N1724" s="50"/>
      <c r="O1724" s="5"/>
      <c r="P1724" s="9"/>
      <c r="Q1724" s="34"/>
      <c r="R1724" s="5"/>
      <c r="S1724" s="35"/>
    </row>
    <row r="1725" spans="1:25" s="396" customFormat="1" ht="30" customHeight="1" x14ac:dyDescent="0.35">
      <c r="A1725" s="388" t="s">
        <v>1</v>
      </c>
      <c r="B1725" s="389">
        <v>2141</v>
      </c>
      <c r="C1725" s="1290" t="s">
        <v>914</v>
      </c>
      <c r="D1725" s="1291"/>
      <c r="E1725" s="392" t="s">
        <v>3</v>
      </c>
      <c r="F1725" s="393" t="s">
        <v>108</v>
      </c>
      <c r="G1725" s="390" t="s">
        <v>38</v>
      </c>
      <c r="H1725" s="195">
        <v>8754.9353088119497</v>
      </c>
      <c r="I1725" s="392" t="s">
        <v>5</v>
      </c>
      <c r="J1725" s="1207" t="s">
        <v>2861</v>
      </c>
      <c r="K1725" s="1207"/>
      <c r="L1725" s="1208"/>
      <c r="M1725" s="50"/>
      <c r="N1725" s="50"/>
      <c r="O1725" s="5"/>
      <c r="P1725" s="9"/>
      <c r="Q1725" s="34"/>
      <c r="R1725" s="5"/>
      <c r="S1725" s="35"/>
      <c r="T1725" s="9"/>
      <c r="U1725" s="9"/>
      <c r="V1725" s="9"/>
      <c r="W1725" s="9"/>
      <c r="X1725" s="9"/>
      <c r="Y1725" s="9"/>
    </row>
    <row r="1726" spans="1:25" ht="30" customHeight="1" x14ac:dyDescent="0.35">
      <c r="A1726" s="185" t="s">
        <v>177</v>
      </c>
      <c r="B1726" s="1651" t="s">
        <v>7</v>
      </c>
      <c r="C1726" s="1652"/>
      <c r="D1726" s="1653"/>
      <c r="E1726" s="492" t="s">
        <v>178</v>
      </c>
      <c r="F1726" s="397" t="s">
        <v>52</v>
      </c>
      <c r="H1726" s="712"/>
      <c r="I1726" s="1223" t="s">
        <v>56</v>
      </c>
      <c r="J1726" s="1224"/>
      <c r="K1726" s="1209" t="s">
        <v>180</v>
      </c>
      <c r="L1726" s="1210"/>
      <c r="M1726" s="50"/>
      <c r="N1726" s="50"/>
      <c r="O1726" s="5"/>
      <c r="P1726" s="9"/>
      <c r="Q1726" s="34"/>
      <c r="R1726" s="5"/>
      <c r="S1726" s="35"/>
    </row>
    <row r="1727" spans="1:25" ht="30" customHeight="1" x14ac:dyDescent="0.35">
      <c r="A1727" s="401" t="s">
        <v>181</v>
      </c>
      <c r="B1727" s="1389" t="s">
        <v>915</v>
      </c>
      <c r="C1727" s="1390"/>
      <c r="D1727" s="1391"/>
      <c r="E1727" s="531">
        <v>12000</v>
      </c>
      <c r="F1727" s="187">
        <v>785</v>
      </c>
      <c r="G1727" s="532"/>
      <c r="H1727" s="533"/>
      <c r="I1727" s="1252" t="s">
        <v>2860</v>
      </c>
      <c r="J1727" s="1253"/>
      <c r="K1727" s="187">
        <f>+F1727</f>
        <v>785</v>
      </c>
      <c r="L1727" s="401" t="s">
        <v>108</v>
      </c>
      <c r="M1727" s="97"/>
      <c r="N1727" s="50"/>
      <c r="O1727" s="5"/>
      <c r="P1727" s="9"/>
      <c r="Q1727" s="34"/>
      <c r="R1727" s="5"/>
      <c r="S1727" s="35"/>
    </row>
    <row r="1728" spans="1:25" ht="30" customHeight="1" thickBot="1" x14ac:dyDescent="0.4">
      <c r="A1728" s="186"/>
      <c r="B1728" s="1212"/>
      <c r="C1728" s="1213"/>
      <c r="D1728" s="1214"/>
      <c r="E1728" s="535"/>
      <c r="F1728" s="536"/>
      <c r="G1728" s="536"/>
      <c r="H1728" s="537"/>
      <c r="I1728" s="503"/>
      <c r="J1728" s="494" t="s">
        <v>37</v>
      </c>
      <c r="K1728" s="193">
        <f>+K1727</f>
        <v>785</v>
      </c>
      <c r="L1728" s="186" t="s">
        <v>108</v>
      </c>
      <c r="M1728" s="50"/>
      <c r="N1728" s="50"/>
      <c r="O1728" s="5"/>
      <c r="P1728" s="9"/>
      <c r="Q1728" s="34"/>
      <c r="R1728" s="5"/>
      <c r="S1728" s="35"/>
    </row>
    <row r="1729" spans="1:25" ht="30" customHeight="1" thickBot="1" x14ac:dyDescent="0.4">
      <c r="A1729" s="1199"/>
      <c r="B1729" s="1200"/>
      <c r="C1729" s="1200"/>
      <c r="D1729" s="1200"/>
      <c r="E1729" s="1200"/>
      <c r="F1729" s="1200"/>
      <c r="G1729" s="1200"/>
      <c r="H1729" s="1200"/>
      <c r="I1729" s="1200"/>
      <c r="J1729" s="1200"/>
      <c r="K1729" s="1200"/>
      <c r="L1729" s="1201"/>
      <c r="M1729" s="50"/>
      <c r="N1729" s="50"/>
      <c r="P1729" s="34"/>
      <c r="Q1729" s="5"/>
      <c r="R1729" s="35"/>
      <c r="X1729" s="396"/>
      <c r="Y1729" s="396"/>
    </row>
    <row r="1730" spans="1:25" s="396" customFormat="1" ht="30" customHeight="1" x14ac:dyDescent="0.35">
      <c r="A1730" s="388" t="s">
        <v>1</v>
      </c>
      <c r="B1730" s="389">
        <v>2142</v>
      </c>
      <c r="C1730" s="1408" t="s">
        <v>916</v>
      </c>
      <c r="D1730" s="1409"/>
      <c r="E1730" s="392" t="s">
        <v>3</v>
      </c>
      <c r="F1730" s="393" t="s">
        <v>108</v>
      </c>
      <c r="G1730" s="390" t="s">
        <v>38</v>
      </c>
      <c r="H1730" s="195">
        <v>21801.183076923</v>
      </c>
      <c r="I1730" s="392" t="s">
        <v>5</v>
      </c>
      <c r="J1730" s="1207" t="s">
        <v>2861</v>
      </c>
      <c r="K1730" s="1207"/>
      <c r="L1730" s="1208"/>
      <c r="M1730" s="50"/>
      <c r="N1730" s="50"/>
      <c r="O1730" s="9"/>
      <c r="P1730" s="34"/>
      <c r="Q1730" s="5"/>
      <c r="R1730" s="35"/>
      <c r="S1730" s="9"/>
      <c r="T1730" s="9"/>
      <c r="U1730" s="9"/>
      <c r="V1730" s="9"/>
      <c r="W1730" s="9"/>
      <c r="X1730" s="9"/>
      <c r="Y1730" s="9"/>
    </row>
    <row r="1731" spans="1:25" ht="30" customHeight="1" x14ac:dyDescent="0.35">
      <c r="A1731" s="185" t="s">
        <v>177</v>
      </c>
      <c r="B1731" s="1651" t="s">
        <v>7</v>
      </c>
      <c r="C1731" s="1652"/>
      <c r="D1731" s="1653"/>
      <c r="E1731" s="492" t="s">
        <v>178</v>
      </c>
      <c r="F1731" s="397" t="s">
        <v>52</v>
      </c>
      <c r="G1731" s="185"/>
      <c r="H1731" s="185"/>
      <c r="I1731" s="1223" t="s">
        <v>56</v>
      </c>
      <c r="J1731" s="1224"/>
      <c r="K1731" s="1209" t="s">
        <v>180</v>
      </c>
      <c r="L1731" s="1210"/>
      <c r="M1731" s="50"/>
      <c r="P1731" s="34"/>
      <c r="Q1731" s="5"/>
      <c r="R1731" s="35"/>
    </row>
    <row r="1732" spans="1:25" ht="30" customHeight="1" x14ac:dyDescent="0.35">
      <c r="A1732" s="401" t="s">
        <v>181</v>
      </c>
      <c r="B1732" s="1389" t="s">
        <v>917</v>
      </c>
      <c r="C1732" s="1390"/>
      <c r="D1732" s="1391"/>
      <c r="E1732" s="531">
        <v>42000</v>
      </c>
      <c r="F1732" s="187">
        <v>466</v>
      </c>
      <c r="G1732" s="532"/>
      <c r="H1732" s="533"/>
      <c r="I1732" s="1252" t="s">
        <v>2860</v>
      </c>
      <c r="J1732" s="1253"/>
      <c r="K1732" s="187">
        <f>+F1732</f>
        <v>466</v>
      </c>
      <c r="L1732" s="401" t="s">
        <v>108</v>
      </c>
      <c r="M1732" s="50"/>
      <c r="N1732" s="50"/>
      <c r="O1732" s="5"/>
      <c r="P1732" s="9"/>
      <c r="Q1732" s="34"/>
      <c r="R1732" s="5"/>
      <c r="S1732" s="35"/>
    </row>
    <row r="1733" spans="1:25" ht="30" customHeight="1" thickBot="1" x14ac:dyDescent="0.4">
      <c r="A1733" s="186"/>
      <c r="B1733" s="1212"/>
      <c r="C1733" s="1213"/>
      <c r="D1733" s="1214"/>
      <c r="E1733" s="535"/>
      <c r="F1733" s="536"/>
      <c r="G1733" s="536"/>
      <c r="H1733" s="537"/>
      <c r="I1733" s="503"/>
      <c r="J1733" s="494" t="s">
        <v>37</v>
      </c>
      <c r="K1733" s="193">
        <f>+K1732</f>
        <v>466</v>
      </c>
      <c r="L1733" s="186" t="s">
        <v>108</v>
      </c>
      <c r="M1733" s="50"/>
      <c r="N1733" s="50"/>
      <c r="O1733" s="5"/>
      <c r="P1733" s="9"/>
      <c r="Q1733" s="34"/>
      <c r="R1733" s="5"/>
      <c r="S1733" s="35"/>
    </row>
    <row r="1734" spans="1:25" ht="30" customHeight="1" thickBot="1" x14ac:dyDescent="0.4">
      <c r="A1734" s="1199"/>
      <c r="B1734" s="1200"/>
      <c r="C1734" s="1200"/>
      <c r="D1734" s="1200"/>
      <c r="E1734" s="1200"/>
      <c r="F1734" s="1200"/>
      <c r="G1734" s="1200"/>
      <c r="H1734" s="1200"/>
      <c r="I1734" s="1200"/>
      <c r="J1734" s="1200"/>
      <c r="K1734" s="1200"/>
      <c r="L1734" s="1201"/>
      <c r="M1734" s="50"/>
      <c r="N1734" s="50"/>
      <c r="O1734" s="5"/>
      <c r="P1734" s="9"/>
      <c r="Q1734" s="34"/>
      <c r="R1734" s="5"/>
      <c r="S1734" s="35"/>
    </row>
    <row r="1735" spans="1:25" ht="30" customHeight="1" x14ac:dyDescent="0.35">
      <c r="A1735" s="388" t="s">
        <v>1</v>
      </c>
      <c r="B1735" s="389">
        <v>2143</v>
      </c>
      <c r="C1735" s="1290" t="s">
        <v>918</v>
      </c>
      <c r="D1735" s="1291"/>
      <c r="E1735" s="392" t="s">
        <v>3</v>
      </c>
      <c r="F1735" s="393" t="s">
        <v>108</v>
      </c>
      <c r="G1735" s="390" t="s">
        <v>38</v>
      </c>
      <c r="H1735" s="195">
        <v>14871.335308498201</v>
      </c>
      <c r="I1735" s="392" t="s">
        <v>5</v>
      </c>
      <c r="J1735" s="1207" t="s">
        <v>2861</v>
      </c>
      <c r="K1735" s="1207"/>
      <c r="L1735" s="1208"/>
      <c r="M1735" s="50"/>
      <c r="N1735" s="50"/>
      <c r="O1735" s="5"/>
      <c r="P1735" s="9"/>
      <c r="Q1735" s="34"/>
      <c r="R1735" s="5"/>
      <c r="S1735" s="35"/>
    </row>
    <row r="1736" spans="1:25" ht="30" customHeight="1" x14ac:dyDescent="0.35">
      <c r="A1736" s="185" t="s">
        <v>177</v>
      </c>
      <c r="B1736" s="1651" t="s">
        <v>7</v>
      </c>
      <c r="C1736" s="1652"/>
      <c r="D1736" s="1653"/>
      <c r="E1736" s="492" t="s">
        <v>178</v>
      </c>
      <c r="F1736" s="397" t="s">
        <v>52</v>
      </c>
      <c r="G1736" s="185"/>
      <c r="H1736" s="185"/>
      <c r="I1736" s="1223" t="s">
        <v>56</v>
      </c>
      <c r="J1736" s="1224"/>
      <c r="K1736" s="1209" t="s">
        <v>180</v>
      </c>
      <c r="L1736" s="1210"/>
      <c r="M1736" s="50"/>
      <c r="N1736" s="50"/>
      <c r="O1736" s="5"/>
      <c r="P1736" s="9"/>
      <c r="Q1736" s="34"/>
      <c r="R1736" s="5"/>
      <c r="S1736" s="35"/>
    </row>
    <row r="1737" spans="1:25" ht="30" customHeight="1" x14ac:dyDescent="0.35">
      <c r="A1737" s="401" t="s">
        <v>181</v>
      </c>
      <c r="B1737" s="1389" t="s">
        <v>915</v>
      </c>
      <c r="C1737" s="1390"/>
      <c r="D1737" s="1391"/>
      <c r="E1737" s="531">
        <v>12000</v>
      </c>
      <c r="F1737" s="187">
        <v>785</v>
      </c>
      <c r="G1737" s="532"/>
      <c r="H1737" s="533"/>
      <c r="I1737" s="1217" t="s">
        <v>2860</v>
      </c>
      <c r="J1737" s="1218"/>
      <c r="K1737" s="187">
        <f>+F1737</f>
        <v>785</v>
      </c>
      <c r="L1737" s="401" t="s">
        <v>108</v>
      </c>
      <c r="M1737" s="96"/>
      <c r="N1737" s="50"/>
      <c r="O1737" s="5"/>
      <c r="P1737" s="9"/>
      <c r="Q1737" s="34"/>
      <c r="R1737" s="5"/>
      <c r="S1737" s="35"/>
    </row>
    <row r="1738" spans="1:25" ht="30" customHeight="1" thickBot="1" x14ac:dyDescent="0.4">
      <c r="A1738" s="186"/>
      <c r="B1738" s="1212"/>
      <c r="C1738" s="1213"/>
      <c r="D1738" s="1214"/>
      <c r="E1738" s="535"/>
      <c r="F1738" s="536"/>
      <c r="G1738" s="536"/>
      <c r="H1738" s="537"/>
      <c r="I1738" s="503"/>
      <c r="J1738" s="494" t="s">
        <v>37</v>
      </c>
      <c r="K1738" s="193">
        <f>+K1737</f>
        <v>785</v>
      </c>
      <c r="L1738" s="186" t="s">
        <v>108</v>
      </c>
      <c r="M1738" s="50"/>
      <c r="N1738" s="50"/>
      <c r="O1738" s="5"/>
      <c r="P1738" s="9"/>
      <c r="Q1738" s="34"/>
      <c r="R1738" s="5"/>
      <c r="S1738" s="35"/>
    </row>
    <row r="1739" spans="1:25" ht="30" customHeight="1" thickBot="1" x14ac:dyDescent="0.4">
      <c r="A1739" s="1199"/>
      <c r="B1739" s="1200"/>
      <c r="C1739" s="1200"/>
      <c r="D1739" s="1200"/>
      <c r="E1739" s="1200"/>
      <c r="F1739" s="1200"/>
      <c r="G1739" s="1200"/>
      <c r="H1739" s="1200"/>
      <c r="I1739" s="1200"/>
      <c r="J1739" s="1200"/>
      <c r="K1739" s="1200"/>
      <c r="L1739" s="1201"/>
      <c r="M1739" s="50"/>
      <c r="N1739" s="50"/>
      <c r="O1739" s="5"/>
      <c r="P1739" s="9"/>
      <c r="Q1739" s="34"/>
      <c r="R1739" s="5"/>
      <c r="S1739" s="35"/>
    </row>
    <row r="1740" spans="1:25" ht="30" customHeight="1" x14ac:dyDescent="0.35">
      <c r="A1740" s="388" t="s">
        <v>1</v>
      </c>
      <c r="B1740" s="389">
        <v>2144</v>
      </c>
      <c r="C1740" s="1290" t="s">
        <v>919</v>
      </c>
      <c r="D1740" s="1291"/>
      <c r="E1740" s="392" t="s">
        <v>3</v>
      </c>
      <c r="F1740" s="393" t="s">
        <v>108</v>
      </c>
      <c r="G1740" s="390" t="s">
        <v>38</v>
      </c>
      <c r="H1740" s="195">
        <v>7601</v>
      </c>
      <c r="I1740" s="392" t="s">
        <v>5</v>
      </c>
      <c r="J1740" s="1207" t="s">
        <v>2861</v>
      </c>
      <c r="K1740" s="1207"/>
      <c r="L1740" s="1208"/>
      <c r="M1740" s="50"/>
      <c r="N1740" s="50"/>
      <c r="O1740" s="5"/>
      <c r="P1740" s="9"/>
      <c r="Q1740" s="34"/>
      <c r="R1740" s="5"/>
      <c r="S1740" s="35"/>
    </row>
    <row r="1741" spans="1:25" ht="30" customHeight="1" x14ac:dyDescent="0.35">
      <c r="A1741" s="185" t="s">
        <v>177</v>
      </c>
      <c r="B1741" s="1651" t="s">
        <v>7</v>
      </c>
      <c r="C1741" s="1652"/>
      <c r="D1741" s="1653"/>
      <c r="E1741" s="492" t="s">
        <v>178</v>
      </c>
      <c r="F1741" s="397" t="s">
        <v>52</v>
      </c>
      <c r="G1741" s="185"/>
      <c r="H1741" s="185"/>
      <c r="I1741" s="1223" t="s">
        <v>56</v>
      </c>
      <c r="J1741" s="1224"/>
      <c r="K1741" s="1209" t="s">
        <v>180</v>
      </c>
      <c r="L1741" s="1210"/>
      <c r="M1741" s="50"/>
      <c r="N1741" s="50"/>
      <c r="O1741" s="5"/>
      <c r="P1741" s="9"/>
      <c r="Q1741" s="34"/>
      <c r="R1741" s="5"/>
      <c r="S1741" s="35"/>
    </row>
    <row r="1742" spans="1:25" ht="30" customHeight="1" x14ac:dyDescent="0.35">
      <c r="A1742" s="401" t="s">
        <v>181</v>
      </c>
      <c r="B1742" s="1389" t="s">
        <v>915</v>
      </c>
      <c r="C1742" s="1390"/>
      <c r="D1742" s="1391"/>
      <c r="E1742" s="531">
        <v>12000</v>
      </c>
      <c r="F1742" s="187">
        <v>785</v>
      </c>
      <c r="G1742" s="532"/>
      <c r="H1742" s="533"/>
      <c r="I1742" s="1217" t="s">
        <v>2860</v>
      </c>
      <c r="J1742" s="1218"/>
      <c r="K1742" s="187">
        <f>+F1742</f>
        <v>785</v>
      </c>
      <c r="L1742" s="401" t="s">
        <v>108</v>
      </c>
      <c r="M1742" s="50"/>
      <c r="N1742" s="50"/>
      <c r="O1742" s="5"/>
      <c r="P1742" s="9"/>
      <c r="Q1742" s="34"/>
      <c r="R1742" s="5"/>
      <c r="S1742" s="35"/>
      <c r="X1742" s="396"/>
      <c r="Y1742" s="396"/>
    </row>
    <row r="1743" spans="1:25" s="396" customFormat="1" ht="30" customHeight="1" thickBot="1" x14ac:dyDescent="0.4">
      <c r="A1743" s="186"/>
      <c r="B1743" s="1212"/>
      <c r="C1743" s="1213"/>
      <c r="D1743" s="1214"/>
      <c r="E1743" s="535"/>
      <c r="F1743" s="536"/>
      <c r="G1743" s="536"/>
      <c r="H1743" s="537"/>
      <c r="I1743" s="503"/>
      <c r="J1743" s="494" t="s">
        <v>37</v>
      </c>
      <c r="K1743" s="193">
        <f>+K1742</f>
        <v>785</v>
      </c>
      <c r="L1743" s="186" t="s">
        <v>108</v>
      </c>
      <c r="M1743" s="50"/>
      <c r="N1743" s="50"/>
      <c r="O1743" s="5"/>
      <c r="P1743" s="9"/>
      <c r="Q1743" s="34"/>
      <c r="R1743" s="5"/>
      <c r="S1743" s="35"/>
      <c r="T1743" s="9"/>
      <c r="U1743" s="9"/>
      <c r="V1743" s="9"/>
      <c r="W1743" s="9"/>
      <c r="X1743" s="9"/>
      <c r="Y1743" s="9"/>
    </row>
    <row r="1744" spans="1:25" ht="30" customHeight="1" thickBot="1" x14ac:dyDescent="0.4">
      <c r="A1744" s="1199"/>
      <c r="B1744" s="1200"/>
      <c r="C1744" s="1200"/>
      <c r="D1744" s="1200"/>
      <c r="E1744" s="1200"/>
      <c r="F1744" s="1200"/>
      <c r="G1744" s="1200"/>
      <c r="H1744" s="1200"/>
      <c r="I1744" s="1200"/>
      <c r="J1744" s="1200"/>
      <c r="K1744" s="1200"/>
      <c r="L1744" s="1201"/>
      <c r="M1744" s="50"/>
      <c r="O1744" s="5"/>
      <c r="P1744" s="9"/>
      <c r="Q1744" s="34"/>
      <c r="R1744" s="5"/>
      <c r="S1744" s="35"/>
    </row>
    <row r="1745" spans="1:25" ht="30" customHeight="1" x14ac:dyDescent="0.35">
      <c r="A1745" s="388" t="s">
        <v>1</v>
      </c>
      <c r="B1745" s="389">
        <v>2145</v>
      </c>
      <c r="C1745" s="1290" t="s">
        <v>920</v>
      </c>
      <c r="D1745" s="1291"/>
      <c r="E1745" s="392" t="s">
        <v>3</v>
      </c>
      <c r="F1745" s="393" t="s">
        <v>40</v>
      </c>
      <c r="G1745" s="390" t="s">
        <v>38</v>
      </c>
      <c r="H1745" s="135">
        <v>1</v>
      </c>
      <c r="I1745" s="392" t="s">
        <v>5</v>
      </c>
      <c r="J1745" s="1207" t="s">
        <v>2827</v>
      </c>
      <c r="K1745" s="1207"/>
      <c r="L1745" s="1208"/>
      <c r="M1745" s="96"/>
      <c r="O1745" s="5"/>
      <c r="P1745" s="9"/>
      <c r="Q1745" s="34"/>
      <c r="R1745" s="5"/>
      <c r="S1745" s="35"/>
    </row>
    <row r="1746" spans="1:25" ht="30" customHeight="1" x14ac:dyDescent="0.35">
      <c r="A1746" s="185" t="s">
        <v>177</v>
      </c>
      <c r="B1746" s="1651" t="s">
        <v>7</v>
      </c>
      <c r="C1746" s="1652"/>
      <c r="D1746" s="1653"/>
      <c r="E1746" s="397" t="s">
        <v>52</v>
      </c>
      <c r="F1746" s="185" t="s">
        <v>178</v>
      </c>
      <c r="G1746" s="124" t="s">
        <v>9</v>
      </c>
      <c r="H1746" s="185" t="s">
        <v>54</v>
      </c>
      <c r="I1746" s="1221" t="s">
        <v>179</v>
      </c>
      <c r="J1746" s="1222"/>
      <c r="K1746" s="1209" t="s">
        <v>180</v>
      </c>
      <c r="L1746" s="1210"/>
      <c r="M1746" s="96"/>
      <c r="N1746" s="50"/>
      <c r="O1746" s="5"/>
      <c r="P1746" s="9"/>
      <c r="Q1746" s="34"/>
      <c r="R1746" s="5"/>
      <c r="S1746" s="35"/>
    </row>
    <row r="1747" spans="1:25" ht="30" customHeight="1" x14ac:dyDescent="0.35">
      <c r="A1747" s="186">
        <v>14955</v>
      </c>
      <c r="B1747" s="1212" t="s">
        <v>2880</v>
      </c>
      <c r="C1747" s="1213"/>
      <c r="D1747" s="1214"/>
      <c r="E1747" s="191">
        <v>174</v>
      </c>
      <c r="F1747" s="211">
        <v>1800</v>
      </c>
      <c r="G1747" s="574" t="s">
        <v>108</v>
      </c>
      <c r="H1747" s="574">
        <f>F1747</f>
        <v>1800</v>
      </c>
      <c r="I1747" s="1217">
        <f>+'FY2024 MILCON Inflation Table'!F23</f>
        <v>0.93863689284411045</v>
      </c>
      <c r="J1747" s="1218"/>
      <c r="K1747" s="187">
        <f>E1747*H1747*I1747</f>
        <v>293981.07483877538</v>
      </c>
      <c r="L1747" s="401" t="s">
        <v>40</v>
      </c>
      <c r="M1747" s="96"/>
      <c r="N1747" s="50"/>
      <c r="O1747" s="5"/>
      <c r="P1747" s="9"/>
      <c r="Q1747" s="34"/>
      <c r="R1747" s="5"/>
      <c r="S1747" s="35"/>
      <c r="X1747" s="396"/>
      <c r="Y1747" s="396"/>
    </row>
    <row r="1748" spans="1:25" s="396" customFormat="1" ht="30" customHeight="1" x14ac:dyDescent="0.35">
      <c r="A1748" s="186">
        <v>14960</v>
      </c>
      <c r="B1748" s="1202" t="s">
        <v>2826</v>
      </c>
      <c r="C1748" s="1203"/>
      <c r="D1748" s="1204"/>
      <c r="E1748" s="191">
        <v>62680</v>
      </c>
      <c r="F1748" s="211">
        <v>1</v>
      </c>
      <c r="G1748" s="401" t="s">
        <v>40</v>
      </c>
      <c r="H1748" s="401"/>
      <c r="I1748" s="1217">
        <f>+'FY2024 MILCON Inflation Table'!F10</f>
        <v>1.6540685803452817</v>
      </c>
      <c r="J1748" s="1218"/>
      <c r="K1748" s="189">
        <f>+E1748*I1748</f>
        <v>103677.01861604226</v>
      </c>
      <c r="L1748" s="401" t="s">
        <v>40</v>
      </c>
      <c r="M1748" s="50"/>
      <c r="N1748" s="50"/>
      <c r="O1748" s="5"/>
      <c r="P1748" s="9"/>
      <c r="Q1748" s="34"/>
      <c r="R1748" s="5"/>
      <c r="S1748" s="35"/>
      <c r="T1748" s="9"/>
      <c r="U1748" s="9"/>
      <c r="V1748" s="9"/>
      <c r="W1748" s="9"/>
      <c r="X1748" s="9"/>
      <c r="Y1748" s="9"/>
    </row>
    <row r="1749" spans="1:25" ht="30" customHeight="1" thickBot="1" x14ac:dyDescent="0.4">
      <c r="A1749" s="186"/>
      <c r="B1749" s="1212"/>
      <c r="C1749" s="1213"/>
      <c r="D1749" s="1214"/>
      <c r="E1749" s="520"/>
      <c r="F1749" s="784"/>
      <c r="G1749" s="520"/>
      <c r="H1749" s="750" t="s">
        <v>192</v>
      </c>
      <c r="I1749" s="503"/>
      <c r="J1749" s="494" t="s">
        <v>37</v>
      </c>
      <c r="K1749" s="190">
        <f>AVERAGE(K1747:K1748)</f>
        <v>198829.04672740883</v>
      </c>
      <c r="L1749" s="401" t="s">
        <v>40</v>
      </c>
      <c r="M1749" s="50"/>
      <c r="N1749" s="50"/>
      <c r="O1749" s="5"/>
      <c r="P1749" s="9"/>
      <c r="Q1749" s="34"/>
      <c r="R1749" s="5"/>
      <c r="S1749" s="35"/>
    </row>
    <row r="1750" spans="1:25" ht="30" customHeight="1" thickBot="1" x14ac:dyDescent="0.4">
      <c r="A1750" s="1199"/>
      <c r="B1750" s="1200"/>
      <c r="C1750" s="1200"/>
      <c r="D1750" s="1200"/>
      <c r="E1750" s="1200"/>
      <c r="F1750" s="1200"/>
      <c r="G1750" s="1200"/>
      <c r="H1750" s="1200"/>
      <c r="I1750" s="1200"/>
      <c r="J1750" s="1200"/>
      <c r="K1750" s="1200"/>
      <c r="L1750" s="1201"/>
      <c r="M1750" s="50"/>
      <c r="N1750" s="96"/>
      <c r="O1750" s="5"/>
      <c r="P1750" s="9"/>
      <c r="Q1750" s="34"/>
      <c r="R1750" s="5"/>
      <c r="S1750" s="35"/>
    </row>
    <row r="1751" spans="1:25" ht="30" customHeight="1" x14ac:dyDescent="0.35">
      <c r="A1751" s="388" t="s">
        <v>1</v>
      </c>
      <c r="B1751" s="389">
        <v>2146</v>
      </c>
      <c r="C1751" s="1290" t="s">
        <v>921</v>
      </c>
      <c r="D1751" s="1291"/>
      <c r="E1751" s="392" t="s">
        <v>3</v>
      </c>
      <c r="F1751" s="393" t="s">
        <v>40</v>
      </c>
      <c r="G1751" s="390" t="s">
        <v>38</v>
      </c>
      <c r="H1751" s="135">
        <v>1</v>
      </c>
      <c r="I1751" s="392" t="s">
        <v>5</v>
      </c>
      <c r="J1751" s="1207" t="s">
        <v>2795</v>
      </c>
      <c r="K1751" s="1207"/>
      <c r="L1751" s="1208"/>
      <c r="M1751" s="99"/>
      <c r="N1751" s="50"/>
      <c r="O1751" s="5"/>
      <c r="P1751" s="9"/>
      <c r="Q1751" s="34"/>
      <c r="R1751" s="5"/>
      <c r="S1751" s="35"/>
    </row>
    <row r="1752" spans="1:25" ht="30" customHeight="1" x14ac:dyDescent="0.35">
      <c r="A1752" s="185"/>
      <c r="B1752" s="1337" t="s">
        <v>2781</v>
      </c>
      <c r="C1752" s="1337"/>
      <c r="D1752" s="1337"/>
      <c r="E1752" s="185" t="s">
        <v>52</v>
      </c>
      <c r="F1752" s="185" t="s">
        <v>53</v>
      </c>
      <c r="G1752" s="1219" t="s">
        <v>54</v>
      </c>
      <c r="H1752" s="1220"/>
      <c r="I1752" s="185" t="s">
        <v>55</v>
      </c>
      <c r="J1752" s="185" t="s">
        <v>56</v>
      </c>
      <c r="K1752" s="1209" t="s">
        <v>37</v>
      </c>
      <c r="L1752" s="1210"/>
      <c r="M1752" s="97"/>
      <c r="N1752" s="50"/>
      <c r="V1752" s="396"/>
      <c r="W1752" s="396"/>
      <c r="X1752" s="396"/>
      <c r="Y1752" s="396"/>
    </row>
    <row r="1753" spans="1:25" ht="30" customHeight="1" thickBot="1" x14ac:dyDescent="0.4">
      <c r="A1753" s="407"/>
      <c r="B1753" s="1263">
        <v>23742685.239041999</v>
      </c>
      <c r="C1753" s="1263"/>
      <c r="D1753" s="1263"/>
      <c r="E1753" s="469"/>
      <c r="F1753" s="188"/>
      <c r="G1753" s="1332"/>
      <c r="H1753" s="1333"/>
      <c r="I1753" s="188"/>
      <c r="J1753" s="570">
        <v>1.1706000000000001</v>
      </c>
      <c r="K1753" s="471">
        <f>B1753*J1753</f>
        <v>27793187.340822566</v>
      </c>
      <c r="L1753" s="188" t="s">
        <v>40</v>
      </c>
      <c r="M1753" s="50"/>
      <c r="N1753" s="50"/>
      <c r="T1753" s="53"/>
      <c r="U1753" s="53"/>
    </row>
    <row r="1754" spans="1:25" ht="30" customHeight="1" thickBot="1" x14ac:dyDescent="0.4">
      <c r="A1754" s="1199"/>
      <c r="B1754" s="1200"/>
      <c r="C1754" s="1200"/>
      <c r="D1754" s="1200"/>
      <c r="E1754" s="1200"/>
      <c r="F1754" s="1200"/>
      <c r="G1754" s="1200"/>
      <c r="H1754" s="1200"/>
      <c r="I1754" s="1200"/>
      <c r="J1754" s="1200"/>
      <c r="K1754" s="1200"/>
      <c r="L1754" s="1201"/>
      <c r="M1754" s="50"/>
      <c r="N1754" s="50"/>
      <c r="O1754" s="5"/>
      <c r="P1754" s="9"/>
      <c r="Q1754" s="34"/>
      <c r="R1754" s="5"/>
      <c r="S1754" s="35"/>
    </row>
    <row r="1755" spans="1:25" ht="30" customHeight="1" x14ac:dyDescent="0.35">
      <c r="A1755" s="388" t="s">
        <v>1</v>
      </c>
      <c r="B1755" s="389">
        <v>2147</v>
      </c>
      <c r="C1755" s="1290" t="s">
        <v>922</v>
      </c>
      <c r="D1755" s="1291"/>
      <c r="E1755" s="392" t="s">
        <v>3</v>
      </c>
      <c r="F1755" s="393" t="s">
        <v>108</v>
      </c>
      <c r="G1755" s="390" t="s">
        <v>38</v>
      </c>
      <c r="H1755" s="135">
        <v>7397.8</v>
      </c>
      <c r="I1755" s="392" t="s">
        <v>5</v>
      </c>
      <c r="J1755" s="1207" t="s">
        <v>2538</v>
      </c>
      <c r="K1755" s="1207"/>
      <c r="L1755" s="1208"/>
      <c r="M1755" s="96"/>
      <c r="N1755" s="50"/>
      <c r="T1755" s="53"/>
      <c r="U1755" s="53"/>
    </row>
    <row r="1756" spans="1:25" ht="30" customHeight="1" x14ac:dyDescent="0.35">
      <c r="A1756" s="185" t="s">
        <v>177</v>
      </c>
      <c r="B1756" s="1651" t="s">
        <v>7</v>
      </c>
      <c r="C1756" s="1652"/>
      <c r="D1756" s="1653"/>
      <c r="E1756" s="397" t="s">
        <v>52</v>
      </c>
      <c r="F1756" s="185" t="s">
        <v>178</v>
      </c>
      <c r="G1756" s="1221" t="s">
        <v>9</v>
      </c>
      <c r="H1756" s="1222"/>
      <c r="I1756" s="1221" t="s">
        <v>179</v>
      </c>
      <c r="J1756" s="1222"/>
      <c r="K1756" s="1209" t="s">
        <v>180</v>
      </c>
      <c r="L1756" s="1210"/>
      <c r="M1756" s="96"/>
      <c r="N1756" s="50"/>
      <c r="T1756" s="10"/>
      <c r="U1756" s="10"/>
    </row>
    <row r="1757" spans="1:25" ht="30" customHeight="1" x14ac:dyDescent="0.35">
      <c r="A1757" s="186">
        <v>21470</v>
      </c>
      <c r="B1757" s="1212" t="s">
        <v>923</v>
      </c>
      <c r="C1757" s="1213"/>
      <c r="D1757" s="1214"/>
      <c r="E1757" s="194">
        <v>724</v>
      </c>
      <c r="F1757" s="203">
        <v>180</v>
      </c>
      <c r="G1757" s="401" t="s">
        <v>108</v>
      </c>
      <c r="H1757" s="401"/>
      <c r="I1757" s="1217">
        <f>+'FY2024 MILCON Inflation Table'!F22</f>
        <v>0.95834826759383673</v>
      </c>
      <c r="J1757" s="1218"/>
      <c r="K1757" s="189">
        <f>+E1757*I1757</f>
        <v>693.84414573793777</v>
      </c>
      <c r="L1757" s="401" t="s">
        <v>108</v>
      </c>
      <c r="M1757" s="50"/>
      <c r="N1757" s="50"/>
      <c r="O1757" s="572"/>
      <c r="P1757" s="384"/>
      <c r="Q1757" s="396"/>
      <c r="R1757" s="396"/>
      <c r="S1757" s="396"/>
      <c r="T1757" s="396"/>
      <c r="U1757" s="396"/>
    </row>
    <row r="1758" spans="1:25" ht="30" customHeight="1" x14ac:dyDescent="0.35">
      <c r="A1758" s="186">
        <v>21470</v>
      </c>
      <c r="B1758" s="1212" t="s">
        <v>924</v>
      </c>
      <c r="C1758" s="1213"/>
      <c r="D1758" s="1214"/>
      <c r="E1758" s="194">
        <v>617</v>
      </c>
      <c r="F1758" s="203">
        <v>447</v>
      </c>
      <c r="G1758" s="401" t="s">
        <v>108</v>
      </c>
      <c r="H1758" s="401"/>
      <c r="I1758" s="1217">
        <f>+'FY2024 MILCON Inflation Table'!F22</f>
        <v>0.95834826759383673</v>
      </c>
      <c r="J1758" s="1218"/>
      <c r="K1758" s="189">
        <f>+E1758*I1758</f>
        <v>591.30088110539725</v>
      </c>
      <c r="L1758" s="401" t="s">
        <v>108</v>
      </c>
      <c r="M1758" s="50"/>
      <c r="N1758" s="50"/>
    </row>
    <row r="1759" spans="1:25" ht="30" customHeight="1" thickBot="1" x14ac:dyDescent="0.4">
      <c r="A1759" s="186"/>
      <c r="B1759" s="1437"/>
      <c r="C1759" s="1438"/>
      <c r="D1759" s="1439"/>
      <c r="E1759" s="520"/>
      <c r="F1759" s="784"/>
      <c r="G1759" s="394"/>
      <c r="H1759" s="750" t="s">
        <v>192</v>
      </c>
      <c r="I1759" s="503"/>
      <c r="J1759" s="494" t="s">
        <v>37</v>
      </c>
      <c r="K1759" s="190">
        <f>AVERAGE(K1757:K1758)</f>
        <v>642.57251342166751</v>
      </c>
      <c r="L1759" s="401" t="s">
        <v>108</v>
      </c>
      <c r="M1759" s="50"/>
      <c r="N1759" s="50"/>
      <c r="V1759" s="396"/>
      <c r="W1759" s="396"/>
    </row>
    <row r="1760" spans="1:25" ht="30" customHeight="1" thickBot="1" x14ac:dyDescent="0.4">
      <c r="A1760" s="1199"/>
      <c r="B1760" s="1200"/>
      <c r="C1760" s="1200"/>
      <c r="D1760" s="1200"/>
      <c r="E1760" s="1200"/>
      <c r="F1760" s="1200"/>
      <c r="G1760" s="1200"/>
      <c r="H1760" s="1200"/>
      <c r="I1760" s="1200"/>
      <c r="J1760" s="1200"/>
      <c r="K1760" s="1200"/>
      <c r="L1760" s="1201"/>
      <c r="M1760" s="50"/>
      <c r="N1760" s="50"/>
      <c r="T1760" s="53"/>
      <c r="U1760" s="53"/>
    </row>
    <row r="1761" spans="1:23" ht="30" customHeight="1" x14ac:dyDescent="0.35">
      <c r="A1761" s="388" t="s">
        <v>1</v>
      </c>
      <c r="B1761" s="389">
        <v>2151</v>
      </c>
      <c r="C1761" s="1290" t="s">
        <v>925</v>
      </c>
      <c r="D1761" s="1291"/>
      <c r="E1761" s="392" t="s">
        <v>3</v>
      </c>
      <c r="F1761" s="393" t="s">
        <v>108</v>
      </c>
      <c r="G1761" s="390" t="s">
        <v>38</v>
      </c>
      <c r="H1761" s="134">
        <v>7441.2385786801997</v>
      </c>
      <c r="I1761" s="392" t="s">
        <v>5</v>
      </c>
      <c r="J1761" s="1207" t="s">
        <v>2470</v>
      </c>
      <c r="K1761" s="1207"/>
      <c r="L1761" s="1208"/>
      <c r="M1761" s="50"/>
      <c r="N1761" s="50"/>
      <c r="O1761" s="5"/>
      <c r="P1761" s="9"/>
      <c r="Q1761" s="34"/>
      <c r="R1761" s="5"/>
      <c r="S1761" s="35"/>
    </row>
    <row r="1762" spans="1:23" ht="30" customHeight="1" x14ac:dyDescent="0.35">
      <c r="A1762" s="185" t="s">
        <v>177</v>
      </c>
      <c r="B1762" s="1272" t="s">
        <v>7</v>
      </c>
      <c r="C1762" s="1272"/>
      <c r="D1762" s="1272"/>
      <c r="E1762" s="492" t="s">
        <v>178</v>
      </c>
      <c r="F1762" s="397" t="s">
        <v>52</v>
      </c>
      <c r="G1762" s="185"/>
      <c r="H1762" s="185"/>
      <c r="I1762" s="1223" t="s">
        <v>56</v>
      </c>
      <c r="J1762" s="1224"/>
      <c r="K1762" s="1209" t="s">
        <v>180</v>
      </c>
      <c r="L1762" s="1210"/>
      <c r="M1762" s="50"/>
      <c r="N1762" s="50"/>
      <c r="O1762" s="5"/>
      <c r="P1762" s="9"/>
      <c r="Q1762" s="34"/>
      <c r="R1762" s="5"/>
      <c r="S1762" s="35"/>
    </row>
    <row r="1763" spans="1:23" ht="45" customHeight="1" x14ac:dyDescent="0.35">
      <c r="A1763" s="401" t="s">
        <v>181</v>
      </c>
      <c r="B1763" s="1265" t="s">
        <v>903</v>
      </c>
      <c r="C1763" s="1265"/>
      <c r="D1763" s="1265"/>
      <c r="E1763" s="531">
        <v>29000</v>
      </c>
      <c r="F1763" s="187">
        <v>458</v>
      </c>
      <c r="G1763" s="532"/>
      <c r="H1763" s="533"/>
      <c r="I1763" s="1217">
        <v>1.0438745311870332</v>
      </c>
      <c r="J1763" s="1218"/>
      <c r="K1763" s="187">
        <f>+F1763*+I1763</f>
        <v>478.09453528366123</v>
      </c>
      <c r="L1763" s="401" t="s">
        <v>108</v>
      </c>
      <c r="M1763" s="50"/>
      <c r="O1763" s="5"/>
      <c r="P1763" s="9"/>
      <c r="Q1763" s="34"/>
      <c r="R1763" s="5"/>
      <c r="S1763" s="35"/>
    </row>
    <row r="1764" spans="1:23" ht="30" customHeight="1" thickBot="1" x14ac:dyDescent="0.4">
      <c r="A1764" s="186"/>
      <c r="B1764" s="1264"/>
      <c r="C1764" s="1264"/>
      <c r="D1764" s="1264"/>
      <c r="E1764" s="535"/>
      <c r="F1764" s="536"/>
      <c r="G1764" s="536"/>
      <c r="H1764" s="537"/>
      <c r="I1764" s="503"/>
      <c r="J1764" s="494" t="s">
        <v>37</v>
      </c>
      <c r="K1764" s="193">
        <f>+K1763</f>
        <v>478.09453528366123</v>
      </c>
      <c r="L1764" s="186" t="s">
        <v>108</v>
      </c>
      <c r="M1764" s="50"/>
      <c r="N1764" s="50"/>
      <c r="O1764" s="5"/>
      <c r="P1764" s="9"/>
      <c r="Q1764" s="34"/>
      <c r="R1764" s="5"/>
      <c r="S1764" s="35"/>
    </row>
    <row r="1765" spans="1:23" ht="30" customHeight="1" thickBot="1" x14ac:dyDescent="0.4">
      <c r="A1765" s="1199"/>
      <c r="B1765" s="1200"/>
      <c r="C1765" s="1200"/>
      <c r="D1765" s="1200"/>
      <c r="E1765" s="1200"/>
      <c r="F1765" s="1200"/>
      <c r="G1765" s="1200"/>
      <c r="H1765" s="1200"/>
      <c r="I1765" s="1200"/>
      <c r="J1765" s="1200"/>
      <c r="K1765" s="1200"/>
      <c r="L1765" s="1201"/>
      <c r="M1765" s="50"/>
      <c r="N1765" s="50"/>
      <c r="O1765" s="5"/>
      <c r="P1765" s="9"/>
      <c r="Q1765" s="34"/>
      <c r="R1765" s="5"/>
      <c r="S1765" s="35"/>
    </row>
    <row r="1766" spans="1:23" ht="30" customHeight="1" x14ac:dyDescent="0.35">
      <c r="A1766" s="388" t="s">
        <v>1</v>
      </c>
      <c r="B1766" s="389">
        <v>2152</v>
      </c>
      <c r="C1766" s="1290" t="s">
        <v>926</v>
      </c>
      <c r="D1766" s="1291"/>
      <c r="E1766" s="392" t="s">
        <v>3</v>
      </c>
      <c r="F1766" s="393" t="s">
        <v>108</v>
      </c>
      <c r="G1766" s="390" t="s">
        <v>38</v>
      </c>
      <c r="H1766" s="893">
        <v>19379.447078651599</v>
      </c>
      <c r="I1766" s="392" t="s">
        <v>5</v>
      </c>
      <c r="J1766" s="1207" t="s">
        <v>2538</v>
      </c>
      <c r="K1766" s="1207"/>
      <c r="L1766" s="1208"/>
      <c r="M1766" s="50"/>
      <c r="N1766" s="50"/>
      <c r="O1766" s="5"/>
      <c r="P1766" s="9"/>
      <c r="Q1766" s="34"/>
      <c r="R1766" s="5"/>
      <c r="S1766" s="35"/>
    </row>
    <row r="1767" spans="1:23" ht="30" customHeight="1" x14ac:dyDescent="0.35">
      <c r="A1767" s="185" t="s">
        <v>177</v>
      </c>
      <c r="B1767" s="1272" t="s">
        <v>7</v>
      </c>
      <c r="C1767" s="1272"/>
      <c r="D1767" s="1272"/>
      <c r="E1767" s="397" t="s">
        <v>52</v>
      </c>
      <c r="F1767" s="185" t="s">
        <v>178</v>
      </c>
      <c r="G1767" s="185"/>
      <c r="H1767" s="185"/>
      <c r="I1767" s="1221" t="s">
        <v>179</v>
      </c>
      <c r="J1767" s="1222"/>
      <c r="K1767" s="1209" t="s">
        <v>180</v>
      </c>
      <c r="L1767" s="1210"/>
      <c r="M1767" s="50"/>
      <c r="N1767" s="50"/>
      <c r="O1767" s="5"/>
      <c r="P1767" s="9"/>
      <c r="Q1767" s="34"/>
      <c r="R1767" s="5"/>
      <c r="S1767" s="35"/>
    </row>
    <row r="1768" spans="1:23" ht="30" customHeight="1" x14ac:dyDescent="0.35">
      <c r="A1768" s="186">
        <v>21885</v>
      </c>
      <c r="B1768" s="1212" t="s">
        <v>2554</v>
      </c>
      <c r="C1768" s="1213"/>
      <c r="D1768" s="1214"/>
      <c r="E1768" s="194">
        <v>488</v>
      </c>
      <c r="F1768" s="203">
        <v>29000</v>
      </c>
      <c r="G1768" s="401" t="s">
        <v>108</v>
      </c>
      <c r="H1768" s="401"/>
      <c r="I1768" s="1217">
        <f>+'FY2024 MILCON Inflation Table'!F22</f>
        <v>0.95834826759383673</v>
      </c>
      <c r="J1768" s="1218"/>
      <c r="K1768" s="189">
        <f>+E1768*I1768</f>
        <v>467.67395458579233</v>
      </c>
      <c r="L1768" s="401" t="s">
        <v>108</v>
      </c>
      <c r="M1768" s="50"/>
      <c r="N1768" s="96"/>
      <c r="O1768" s="5"/>
      <c r="P1768" s="9"/>
      <c r="Q1768" s="34"/>
      <c r="R1768" s="5"/>
      <c r="S1768" s="35"/>
    </row>
    <row r="1769" spans="1:23" ht="30" customHeight="1" thickBot="1" x14ac:dyDescent="0.4">
      <c r="A1769" s="186"/>
      <c r="B1769" s="503"/>
      <c r="C1769" s="503"/>
      <c r="D1769" s="503"/>
      <c r="E1769" s="503"/>
      <c r="F1769" s="503"/>
      <c r="G1769" s="1228"/>
      <c r="H1769" s="1229"/>
      <c r="I1769" s="1230"/>
      <c r="J1769" s="494" t="s">
        <v>37</v>
      </c>
      <c r="K1769" s="193">
        <f>+K1768</f>
        <v>467.67395458579233</v>
      </c>
      <c r="L1769" s="889" t="s">
        <v>108</v>
      </c>
      <c r="M1769" s="50"/>
      <c r="N1769" s="50"/>
      <c r="O1769" s="5"/>
      <c r="P1769" s="9"/>
      <c r="Q1769" s="34"/>
      <c r="R1769" s="5"/>
      <c r="S1769" s="35"/>
    </row>
    <row r="1770" spans="1:23" ht="30" customHeight="1" thickBot="1" x14ac:dyDescent="0.4">
      <c r="A1770" s="1199"/>
      <c r="B1770" s="1200"/>
      <c r="C1770" s="1200"/>
      <c r="D1770" s="1200"/>
      <c r="E1770" s="1200"/>
      <c r="F1770" s="1200"/>
      <c r="G1770" s="1200"/>
      <c r="H1770" s="1200"/>
      <c r="I1770" s="1200"/>
      <c r="J1770" s="1200"/>
      <c r="K1770" s="1200"/>
      <c r="L1770" s="1201"/>
      <c r="M1770" s="50"/>
      <c r="N1770" s="50"/>
      <c r="T1770" s="10"/>
      <c r="U1770" s="10"/>
    </row>
    <row r="1771" spans="1:23" ht="30" customHeight="1" x14ac:dyDescent="0.35">
      <c r="A1771" s="388" t="s">
        <v>1</v>
      </c>
      <c r="B1771" s="389">
        <v>2153</v>
      </c>
      <c r="C1771" s="1290" t="s">
        <v>928</v>
      </c>
      <c r="D1771" s="1291"/>
      <c r="E1771" s="392" t="s">
        <v>3</v>
      </c>
      <c r="F1771" s="393" t="s">
        <v>108</v>
      </c>
      <c r="G1771" s="390" t="s">
        <v>38</v>
      </c>
      <c r="H1771" s="135">
        <v>7187</v>
      </c>
      <c r="I1771" s="392" t="s">
        <v>5</v>
      </c>
      <c r="J1771" s="1207" t="s">
        <v>929</v>
      </c>
      <c r="K1771" s="1207"/>
      <c r="L1771" s="1208"/>
      <c r="M1771" s="97"/>
      <c r="N1771" s="50"/>
      <c r="T1771" s="10"/>
      <c r="U1771" s="10"/>
    </row>
    <row r="1772" spans="1:23" ht="30" customHeight="1" x14ac:dyDescent="0.35">
      <c r="A1772" s="185"/>
      <c r="B1772" s="1272" t="s">
        <v>7</v>
      </c>
      <c r="C1772" s="1272"/>
      <c r="D1772" s="1272"/>
      <c r="E1772" s="185" t="s">
        <v>52</v>
      </c>
      <c r="F1772" s="185" t="s">
        <v>53</v>
      </c>
      <c r="G1772" s="1219" t="s">
        <v>54</v>
      </c>
      <c r="H1772" s="1220"/>
      <c r="I1772" s="185" t="s">
        <v>55</v>
      </c>
      <c r="J1772" s="185" t="s">
        <v>56</v>
      </c>
      <c r="K1772" s="1209" t="s">
        <v>37</v>
      </c>
      <c r="L1772" s="1210"/>
      <c r="M1772" s="97"/>
      <c r="N1772" s="50"/>
      <c r="O1772" s="572"/>
      <c r="P1772" s="384"/>
      <c r="Q1772" s="396"/>
      <c r="R1772" s="396"/>
      <c r="S1772" s="396"/>
      <c r="T1772" s="396"/>
      <c r="U1772" s="396"/>
      <c r="V1772" s="396"/>
      <c r="W1772" s="396"/>
    </row>
    <row r="1773" spans="1:23" ht="30" customHeight="1" thickBot="1" x14ac:dyDescent="0.4">
      <c r="A1773" s="407"/>
      <c r="B1773" s="1446" t="s">
        <v>911</v>
      </c>
      <c r="C1773" s="1446"/>
      <c r="D1773" s="1446"/>
      <c r="E1773" s="713">
        <f>+K1579</f>
        <v>338.80308260701929</v>
      </c>
      <c r="F1773" s="188" t="s">
        <v>930</v>
      </c>
      <c r="G1773" s="1332"/>
      <c r="H1773" s="1333"/>
      <c r="I1773" s="188"/>
      <c r="J1773" s="470" t="s">
        <v>491</v>
      </c>
      <c r="K1773" s="471">
        <f>E1773</f>
        <v>338.80308260701929</v>
      </c>
      <c r="L1773" s="188" t="s">
        <v>108</v>
      </c>
      <c r="M1773" s="50"/>
      <c r="N1773" s="50"/>
    </row>
    <row r="1774" spans="1:23" ht="30" customHeight="1" thickBot="1" x14ac:dyDescent="0.4">
      <c r="A1774" s="1199"/>
      <c r="B1774" s="1200"/>
      <c r="C1774" s="1200"/>
      <c r="D1774" s="1200"/>
      <c r="E1774" s="1200"/>
      <c r="F1774" s="1200"/>
      <c r="G1774" s="1200"/>
      <c r="H1774" s="1200"/>
      <c r="I1774" s="1200"/>
      <c r="J1774" s="1200"/>
      <c r="K1774" s="1200"/>
      <c r="L1774" s="1201"/>
      <c r="M1774" s="50"/>
      <c r="N1774" s="50"/>
      <c r="O1774" s="14"/>
    </row>
    <row r="1775" spans="1:23" ht="30" customHeight="1" x14ac:dyDescent="0.35">
      <c r="A1775" s="388" t="s">
        <v>1</v>
      </c>
      <c r="B1775" s="389">
        <v>2154</v>
      </c>
      <c r="C1775" s="1650" t="s">
        <v>931</v>
      </c>
      <c r="D1775" s="1650"/>
      <c r="E1775" s="392" t="s">
        <v>3</v>
      </c>
      <c r="F1775" s="393" t="s">
        <v>108</v>
      </c>
      <c r="G1775" s="390" t="s">
        <v>38</v>
      </c>
      <c r="H1775" s="886">
        <v>11344.666666666601</v>
      </c>
      <c r="I1775" s="392" t="s">
        <v>5</v>
      </c>
      <c r="J1775" s="1207" t="s">
        <v>2481</v>
      </c>
      <c r="K1775" s="1207"/>
      <c r="L1775" s="1208"/>
      <c r="M1775" s="50"/>
      <c r="N1775" s="50"/>
      <c r="T1775" s="10"/>
    </row>
    <row r="1776" spans="1:23" ht="30" customHeight="1" x14ac:dyDescent="0.35">
      <c r="A1776" s="494" t="s">
        <v>187</v>
      </c>
      <c r="B1776" s="1473" t="s">
        <v>211</v>
      </c>
      <c r="C1776" s="1473"/>
      <c r="D1776" s="1473"/>
      <c r="E1776" s="494" t="s">
        <v>52</v>
      </c>
      <c r="F1776" s="494" t="s">
        <v>53</v>
      </c>
      <c r="G1776" s="1527" t="s">
        <v>54</v>
      </c>
      <c r="H1776" s="1527"/>
      <c r="I1776" s="1225" t="s">
        <v>188</v>
      </c>
      <c r="J1776" s="1226"/>
      <c r="K1776" s="1209" t="s">
        <v>180</v>
      </c>
      <c r="L1776" s="1210"/>
      <c r="M1776" s="50"/>
      <c r="N1776" s="50"/>
      <c r="O1776" s="5"/>
      <c r="P1776" s="9"/>
      <c r="Q1776" s="34"/>
      <c r="R1776" s="5"/>
      <c r="S1776" s="35"/>
      <c r="U1776" s="10"/>
    </row>
    <row r="1777" spans="1:23" ht="30" customHeight="1" x14ac:dyDescent="0.35">
      <c r="A1777" s="186" t="s">
        <v>842</v>
      </c>
      <c r="B1777" s="1389" t="s">
        <v>2716</v>
      </c>
      <c r="C1777" s="1390"/>
      <c r="D1777" s="1391"/>
      <c r="E1777" s="194">
        <f>205-3.15</f>
        <v>201.85</v>
      </c>
      <c r="F1777" s="186" t="s">
        <v>108</v>
      </c>
      <c r="G1777" s="186"/>
      <c r="H1777" s="186"/>
      <c r="I1777" s="1372">
        <v>1.1299999999999999</v>
      </c>
      <c r="J1777" s="1373"/>
      <c r="K1777" s="194">
        <f>+E1777*I1777</f>
        <v>228.09049999999996</v>
      </c>
      <c r="L1777" s="186" t="s">
        <v>108</v>
      </c>
      <c r="M1777" s="50"/>
      <c r="N1777" s="50"/>
      <c r="O1777" s="572"/>
      <c r="P1777" s="384"/>
      <c r="Q1777" s="396"/>
      <c r="R1777" s="396"/>
      <c r="S1777" s="396"/>
      <c r="T1777" s="396"/>
      <c r="U1777" s="396"/>
      <c r="V1777" s="396"/>
      <c r="W1777" s="396"/>
    </row>
    <row r="1778" spans="1:23" ht="30" customHeight="1" x14ac:dyDescent="0.35">
      <c r="A1778" s="186" t="s">
        <v>333</v>
      </c>
      <c r="B1778" s="1264" t="s">
        <v>932</v>
      </c>
      <c r="C1778" s="1264"/>
      <c r="D1778" s="1264"/>
      <c r="E1778" s="193">
        <v>162000</v>
      </c>
      <c r="F1778" s="186" t="s">
        <v>40</v>
      </c>
      <c r="G1778" s="875">
        <f>+H1775</f>
        <v>11344.666666666601</v>
      </c>
      <c r="H1778" s="534" t="s">
        <v>933</v>
      </c>
      <c r="I1778" s="1372">
        <v>1.26</v>
      </c>
      <c r="J1778" s="1373"/>
      <c r="K1778" s="194">
        <f>+(E1778/G1778)*I1778</f>
        <v>17.992595639654567</v>
      </c>
      <c r="L1778" s="186" t="s">
        <v>108</v>
      </c>
      <c r="M1778" s="50"/>
    </row>
    <row r="1779" spans="1:23" ht="30" customHeight="1" x14ac:dyDescent="0.35">
      <c r="A1779" s="186" t="s">
        <v>249</v>
      </c>
      <c r="B1779" s="1264" t="s">
        <v>256</v>
      </c>
      <c r="C1779" s="1264"/>
      <c r="D1779" s="1264"/>
      <c r="E1779" s="194">
        <v>5.38</v>
      </c>
      <c r="F1779" s="186" t="s">
        <v>108</v>
      </c>
      <c r="G1779" s="503"/>
      <c r="H1779" s="534"/>
      <c r="I1779" s="1372">
        <v>1.1299999999999999</v>
      </c>
      <c r="J1779" s="1373"/>
      <c r="K1779" s="194">
        <f>+E1779*I1779</f>
        <v>6.0793999999999997</v>
      </c>
      <c r="L1779" s="186" t="s">
        <v>108</v>
      </c>
      <c r="M1779" s="50"/>
      <c r="N1779" s="50"/>
      <c r="O1779" s="14"/>
    </row>
    <row r="1780" spans="1:23" ht="30" customHeight="1" x14ac:dyDescent="0.35">
      <c r="A1780" s="186" t="s">
        <v>249</v>
      </c>
      <c r="B1780" s="1212" t="s">
        <v>938</v>
      </c>
      <c r="C1780" s="1213"/>
      <c r="D1780" s="1214"/>
      <c r="E1780" s="194">
        <f>+E1779*0.15</f>
        <v>0.80699999999999994</v>
      </c>
      <c r="F1780" s="127" t="s">
        <v>108</v>
      </c>
      <c r="G1780" s="503"/>
      <c r="H1780" s="534"/>
      <c r="I1780" s="1372">
        <v>1.1299999999999999</v>
      </c>
      <c r="J1780" s="1373"/>
      <c r="K1780" s="194">
        <f>+E1780*I1780</f>
        <v>0.91190999999999989</v>
      </c>
      <c r="L1780" s="186" t="s">
        <v>108</v>
      </c>
      <c r="M1780" s="50"/>
      <c r="N1780" s="50"/>
      <c r="O1780" s="5"/>
      <c r="T1780" s="10"/>
      <c r="U1780" s="10"/>
    </row>
    <row r="1781" spans="1:23" ht="30" customHeight="1" x14ac:dyDescent="0.35">
      <c r="A1781" s="271" t="s">
        <v>274</v>
      </c>
      <c r="B1781" s="1369" t="s">
        <v>2717</v>
      </c>
      <c r="C1781" s="1370"/>
      <c r="D1781" s="1371"/>
      <c r="E1781" s="279">
        <v>51.5</v>
      </c>
      <c r="F1781" s="271" t="s">
        <v>108</v>
      </c>
      <c r="G1781" s="895">
        <f>2145/H1775</f>
        <v>0.18907563025210194</v>
      </c>
      <c r="H1781" s="595" t="s">
        <v>2718</v>
      </c>
      <c r="I1781" s="1372">
        <v>1.1299999999999999</v>
      </c>
      <c r="J1781" s="1373"/>
      <c r="K1781" s="279">
        <f>+E1781*G1781*I1781</f>
        <v>11.003256302521072</v>
      </c>
      <c r="L1781" s="271" t="s">
        <v>108</v>
      </c>
      <c r="M1781" s="50"/>
      <c r="N1781" s="50"/>
      <c r="T1781" s="10"/>
      <c r="U1781" s="10"/>
    </row>
    <row r="1782" spans="1:23" ht="30" customHeight="1" x14ac:dyDescent="0.35">
      <c r="A1782" s="186"/>
      <c r="B1782" s="1264"/>
      <c r="C1782" s="1264"/>
      <c r="D1782" s="1264"/>
      <c r="E1782" s="194"/>
      <c r="F1782" s="186"/>
      <c r="G1782" s="503"/>
      <c r="H1782" s="534"/>
      <c r="I1782" s="186"/>
      <c r="J1782" s="186" t="s">
        <v>223</v>
      </c>
      <c r="K1782" s="194">
        <f>SUM(K1777:K1781)</f>
        <v>264.07766194217561</v>
      </c>
      <c r="L1782" s="186" t="s">
        <v>108</v>
      </c>
      <c r="M1782" s="50"/>
      <c r="N1782" s="50"/>
      <c r="U1782" s="396"/>
      <c r="V1782" s="396"/>
      <c r="W1782" s="396"/>
    </row>
    <row r="1783" spans="1:23" ht="30" customHeight="1" x14ac:dyDescent="0.35">
      <c r="A1783" s="186"/>
      <c r="B1783" s="1202"/>
      <c r="C1783" s="1203"/>
      <c r="D1783" s="1204"/>
      <c r="E1783" s="194"/>
      <c r="F1783" s="1215" t="s">
        <v>195</v>
      </c>
      <c r="G1783" s="1273" t="s">
        <v>196</v>
      </c>
      <c r="H1783" s="1273"/>
      <c r="I1783" s="1273"/>
      <c r="J1783" s="1273"/>
      <c r="K1783" s="196">
        <v>1.04</v>
      </c>
      <c r="L1783" s="186"/>
      <c r="M1783" s="50"/>
      <c r="N1783" s="50"/>
      <c r="O1783" s="14"/>
    </row>
    <row r="1784" spans="1:23" ht="30" customHeight="1" x14ac:dyDescent="0.35">
      <c r="A1784" s="186"/>
      <c r="B1784" s="567"/>
      <c r="C1784" s="567"/>
      <c r="D1784" s="567"/>
      <c r="E1784" s="194"/>
      <c r="F1784" s="1216"/>
      <c r="G1784" s="1268" t="s">
        <v>2477</v>
      </c>
      <c r="H1784" s="1268"/>
      <c r="I1784" s="1268"/>
      <c r="J1784" s="1268"/>
      <c r="K1784" s="196">
        <v>1.05</v>
      </c>
      <c r="L1784" s="186"/>
      <c r="M1784" s="50"/>
      <c r="N1784" s="50"/>
      <c r="O1784" s="5"/>
      <c r="T1784" s="10"/>
      <c r="U1784" s="10"/>
    </row>
    <row r="1785" spans="1:23" ht="30" customHeight="1" x14ac:dyDescent="0.35">
      <c r="A1785" s="186"/>
      <c r="B1785" s="186"/>
      <c r="C1785" s="503"/>
      <c r="D1785" s="503"/>
      <c r="E1785" s="503"/>
      <c r="F1785" s="503"/>
      <c r="G1785" s="503"/>
      <c r="H1785" s="503"/>
      <c r="I1785" s="503"/>
      <c r="J1785" s="503" t="s">
        <v>37</v>
      </c>
      <c r="K1785" s="193">
        <f>+K1782*K1783/K1784</f>
        <v>261.56263659034533</v>
      </c>
      <c r="L1785" s="186" t="s">
        <v>108</v>
      </c>
      <c r="M1785" s="50"/>
      <c r="N1785" s="50"/>
      <c r="T1785" s="10"/>
      <c r="U1785" s="10"/>
    </row>
    <row r="1786" spans="1:23" ht="30" customHeight="1" x14ac:dyDescent="0.35">
      <c r="A1786" s="186"/>
      <c r="B1786" s="186"/>
      <c r="C1786" s="503"/>
      <c r="D1786" s="503"/>
      <c r="E1786" s="503"/>
      <c r="F1786" s="503"/>
      <c r="G1786" s="1198" t="s">
        <v>257</v>
      </c>
      <c r="H1786" s="1198"/>
      <c r="I1786" s="1198"/>
      <c r="J1786" s="560">
        <f>VLOOKUP(B1775,'Mil Cost Premiums for PUCs'!$A$4:$R$285,18,FALSE)</f>
        <v>1.1561386038173773</v>
      </c>
      <c r="K1786" s="193">
        <f>+K1785*J1786</f>
        <v>302.40266147835388</v>
      </c>
      <c r="L1786" s="186" t="s">
        <v>108</v>
      </c>
      <c r="M1786" s="50"/>
      <c r="N1786" s="50"/>
    </row>
    <row r="1787" spans="1:23" ht="30" customHeight="1" thickBot="1" x14ac:dyDescent="0.4">
      <c r="A1787" s="186"/>
      <c r="B1787" s="186"/>
      <c r="C1787" s="503"/>
      <c r="D1787" s="503"/>
      <c r="E1787" s="503"/>
      <c r="F1787" s="503"/>
      <c r="G1787" s="1309" t="s">
        <v>3000</v>
      </c>
      <c r="H1787" s="1310"/>
      <c r="I1787" s="1311"/>
      <c r="J1787" s="560">
        <v>1.0438745311870361</v>
      </c>
      <c r="K1787" s="193">
        <f>+K1786*J1787</f>
        <v>315.67043648042863</v>
      </c>
      <c r="L1787" s="186" t="s">
        <v>108</v>
      </c>
      <c r="M1787" s="50"/>
      <c r="N1787" s="50"/>
      <c r="T1787" s="53"/>
      <c r="U1787" s="53"/>
    </row>
    <row r="1788" spans="1:23" ht="30" customHeight="1" thickBot="1" x14ac:dyDescent="0.4">
      <c r="A1788" s="1199"/>
      <c r="B1788" s="1200"/>
      <c r="C1788" s="1200"/>
      <c r="D1788" s="1200"/>
      <c r="E1788" s="1200"/>
      <c r="F1788" s="1200"/>
      <c r="G1788" s="1200"/>
      <c r="H1788" s="1200"/>
      <c r="I1788" s="1200"/>
      <c r="J1788" s="1200"/>
      <c r="K1788" s="1200"/>
      <c r="L1788" s="1201"/>
      <c r="N1788" s="50"/>
      <c r="T1788" s="10"/>
      <c r="U1788" s="10"/>
    </row>
    <row r="1789" spans="1:23" ht="30" customHeight="1" x14ac:dyDescent="0.35">
      <c r="A1789" s="388" t="s">
        <v>1</v>
      </c>
      <c r="B1789" s="389">
        <v>2161</v>
      </c>
      <c r="C1789" s="1345" t="s">
        <v>934</v>
      </c>
      <c r="D1789" s="1346"/>
      <c r="E1789" s="392" t="s">
        <v>3</v>
      </c>
      <c r="F1789" s="393" t="s">
        <v>108</v>
      </c>
      <c r="G1789" s="390" t="s">
        <v>38</v>
      </c>
      <c r="H1789" s="660">
        <v>7759.4209090908998</v>
      </c>
      <c r="I1789" s="392" t="s">
        <v>5</v>
      </c>
      <c r="J1789" s="1207" t="s">
        <v>2481</v>
      </c>
      <c r="K1789" s="1207"/>
      <c r="L1789" s="1208"/>
      <c r="M1789" s="50"/>
      <c r="N1789" s="50"/>
      <c r="O1789" s="572"/>
      <c r="P1789" s="384"/>
      <c r="Q1789" s="396"/>
      <c r="R1789" s="396"/>
      <c r="S1789" s="396"/>
      <c r="T1789" s="396"/>
      <c r="U1789" s="396"/>
    </row>
    <row r="1790" spans="1:23" ht="30" customHeight="1" x14ac:dyDescent="0.35">
      <c r="A1790" s="494" t="s">
        <v>187</v>
      </c>
      <c r="B1790" s="1280" t="s">
        <v>211</v>
      </c>
      <c r="C1790" s="1281"/>
      <c r="D1790" s="1282"/>
      <c r="E1790" s="566" t="s">
        <v>52</v>
      </c>
      <c r="F1790" s="566" t="s">
        <v>53</v>
      </c>
      <c r="G1790" s="1219" t="s">
        <v>54</v>
      </c>
      <c r="H1790" s="1220"/>
      <c r="I1790" s="1225" t="s">
        <v>188</v>
      </c>
      <c r="J1790" s="1226"/>
      <c r="K1790" s="1209" t="s">
        <v>180</v>
      </c>
      <c r="L1790" s="1210"/>
      <c r="M1790" s="50"/>
      <c r="N1790" s="50"/>
      <c r="O1790" s="5"/>
      <c r="P1790" s="9"/>
      <c r="Q1790" s="34"/>
      <c r="R1790" s="5"/>
      <c r="S1790" s="35"/>
    </row>
    <row r="1791" spans="1:23" ht="30" customHeight="1" x14ac:dyDescent="0.35">
      <c r="A1791" s="186" t="s">
        <v>842</v>
      </c>
      <c r="B1791" s="1389" t="s">
        <v>2719</v>
      </c>
      <c r="C1791" s="1390"/>
      <c r="D1791" s="1391"/>
      <c r="E1791" s="194">
        <f>205-3.15</f>
        <v>201.85</v>
      </c>
      <c r="F1791" s="186" t="s">
        <v>108</v>
      </c>
      <c r="G1791" s="186"/>
      <c r="H1791" s="186"/>
      <c r="I1791" s="1372">
        <v>1.1299999999999999</v>
      </c>
      <c r="J1791" s="1373"/>
      <c r="K1791" s="194">
        <f>+E1791*I1791</f>
        <v>228.09049999999996</v>
      </c>
      <c r="L1791" s="186" t="s">
        <v>108</v>
      </c>
      <c r="M1791" s="50"/>
      <c r="N1791" s="50"/>
      <c r="O1791" s="5"/>
      <c r="P1791" s="9"/>
      <c r="Q1791" s="34"/>
      <c r="R1791" s="5"/>
      <c r="S1791" s="35"/>
    </row>
    <row r="1792" spans="1:23" ht="30" customHeight="1" x14ac:dyDescent="0.35">
      <c r="A1792" s="186" t="s">
        <v>333</v>
      </c>
      <c r="B1792" s="1212" t="s">
        <v>935</v>
      </c>
      <c r="C1792" s="1213"/>
      <c r="D1792" s="1214"/>
      <c r="E1792" s="10">
        <v>145000</v>
      </c>
      <c r="F1792" s="755" t="s">
        <v>40</v>
      </c>
      <c r="G1792" s="660">
        <f>+H1789</f>
        <v>7759.4209090908998</v>
      </c>
      <c r="H1792" s="188" t="s">
        <v>448</v>
      </c>
      <c r="I1792" s="1372">
        <v>1.26</v>
      </c>
      <c r="J1792" s="1373"/>
      <c r="K1792" s="194">
        <f>+(E1792)/H1789*I1792</f>
        <v>23.545571524023085</v>
      </c>
      <c r="L1792" s="186" t="s">
        <v>108</v>
      </c>
      <c r="M1792" s="50"/>
      <c r="N1792" s="50"/>
      <c r="O1792" s="5"/>
      <c r="P1792" s="9"/>
      <c r="Q1792" s="34"/>
      <c r="R1792" s="5"/>
      <c r="S1792" s="35"/>
    </row>
    <row r="1793" spans="1:19" ht="30" customHeight="1" x14ac:dyDescent="0.35">
      <c r="A1793" s="186" t="s">
        <v>274</v>
      </c>
      <c r="B1793" s="1212" t="s">
        <v>2720</v>
      </c>
      <c r="C1793" s="1213"/>
      <c r="D1793" s="1214"/>
      <c r="E1793" s="279">
        <v>51.5</v>
      </c>
      <c r="F1793" s="186" t="s">
        <v>937</v>
      </c>
      <c r="G1793" s="560">
        <f>960/H1789</f>
        <v>0.12372057286843</v>
      </c>
      <c r="H1793" s="595" t="s">
        <v>2718</v>
      </c>
      <c r="I1793" s="1372">
        <v>1.1299999999999999</v>
      </c>
      <c r="J1793" s="1373"/>
      <c r="K1793" s="194">
        <f>+E1793*G1793*I1793</f>
        <v>7.1999187380782823</v>
      </c>
      <c r="L1793" s="186" t="s">
        <v>108</v>
      </c>
      <c r="M1793" s="50"/>
      <c r="N1793" s="50"/>
      <c r="O1793" s="5"/>
      <c r="P1793" s="9"/>
      <c r="Q1793" s="34"/>
      <c r="R1793" s="5"/>
      <c r="S1793" s="35"/>
    </row>
    <row r="1794" spans="1:19" ht="30" customHeight="1" x14ac:dyDescent="0.35">
      <c r="A1794" s="186" t="s">
        <v>249</v>
      </c>
      <c r="B1794" s="1264" t="s">
        <v>256</v>
      </c>
      <c r="C1794" s="1264"/>
      <c r="D1794" s="1264"/>
      <c r="E1794" s="194">
        <v>5.38</v>
      </c>
      <c r="F1794" s="127" t="s">
        <v>108</v>
      </c>
      <c r="G1794" s="503"/>
      <c r="H1794" s="534"/>
      <c r="I1794" s="1372">
        <v>1.1299999999999999</v>
      </c>
      <c r="J1794" s="1373"/>
      <c r="K1794" s="194">
        <f>+E1794*I1794</f>
        <v>6.0793999999999997</v>
      </c>
      <c r="L1794" s="186" t="s">
        <v>108</v>
      </c>
      <c r="M1794" s="96"/>
      <c r="N1794" s="50"/>
      <c r="O1794" s="5"/>
      <c r="P1794" s="9"/>
      <c r="Q1794" s="34"/>
      <c r="R1794" s="5"/>
      <c r="S1794" s="35"/>
    </row>
    <row r="1795" spans="1:19" ht="30" customHeight="1" x14ac:dyDescent="0.35">
      <c r="A1795" s="186" t="s">
        <v>249</v>
      </c>
      <c r="B1795" s="1212" t="s">
        <v>938</v>
      </c>
      <c r="C1795" s="1213"/>
      <c r="D1795" s="1214"/>
      <c r="E1795" s="194">
        <f>+E1794*0.15</f>
        <v>0.80699999999999994</v>
      </c>
      <c r="F1795" s="127" t="s">
        <v>108</v>
      </c>
      <c r="G1795" s="503"/>
      <c r="H1795" s="534"/>
      <c r="I1795" s="1372">
        <v>1.1299999999999999</v>
      </c>
      <c r="J1795" s="1373"/>
      <c r="K1795" s="194">
        <f>+E1795*I1795</f>
        <v>0.91190999999999989</v>
      </c>
      <c r="L1795" s="186" t="s">
        <v>108</v>
      </c>
      <c r="M1795" s="50"/>
      <c r="N1795" s="50"/>
      <c r="O1795" s="5"/>
      <c r="P1795" s="9"/>
      <c r="Q1795" s="34"/>
      <c r="R1795" s="5"/>
      <c r="S1795" s="35"/>
    </row>
    <row r="1796" spans="1:19" ht="30" customHeight="1" x14ac:dyDescent="0.35">
      <c r="A1796" s="186" t="s">
        <v>249</v>
      </c>
      <c r="B1796" s="1212" t="s">
        <v>927</v>
      </c>
      <c r="C1796" s="1213"/>
      <c r="D1796" s="1214"/>
      <c r="E1796" s="193">
        <f xml:space="preserve"> 0.72+((1.42+2.11)/2)</f>
        <v>2.4849999999999999</v>
      </c>
      <c r="F1796" s="127" t="s">
        <v>108</v>
      </c>
      <c r="G1796" s="503"/>
      <c r="H1796" s="534"/>
      <c r="I1796" s="1372">
        <v>1.1299999999999999</v>
      </c>
      <c r="J1796" s="1373"/>
      <c r="K1796" s="194">
        <f>+E1796*I1796</f>
        <v>2.8080499999999997</v>
      </c>
      <c r="L1796" s="186" t="s">
        <v>108</v>
      </c>
      <c r="M1796" s="50"/>
      <c r="N1796" s="50"/>
      <c r="O1796" s="5"/>
      <c r="P1796" s="9"/>
      <c r="Q1796" s="34"/>
      <c r="R1796" s="5"/>
      <c r="S1796" s="35"/>
    </row>
    <row r="1797" spans="1:19" ht="30" customHeight="1" x14ac:dyDescent="0.35">
      <c r="A1797" s="186"/>
      <c r="B1797" s="1212"/>
      <c r="C1797" s="1213"/>
      <c r="D1797" s="1214"/>
      <c r="E1797" s="194"/>
      <c r="F1797" s="186"/>
      <c r="G1797" s="503"/>
      <c r="H1797" s="534"/>
      <c r="I1797" s="186"/>
      <c r="J1797" s="186" t="s">
        <v>223</v>
      </c>
      <c r="K1797" s="194">
        <f>SUM(K1791:K1796)</f>
        <v>268.63535026210133</v>
      </c>
      <c r="L1797" s="186" t="s">
        <v>108</v>
      </c>
      <c r="M1797" s="50"/>
      <c r="N1797" s="50"/>
      <c r="O1797" s="5"/>
      <c r="P1797" s="9"/>
      <c r="Q1797" s="34"/>
      <c r="R1797" s="5"/>
      <c r="S1797" s="35"/>
    </row>
    <row r="1798" spans="1:19" ht="30" customHeight="1" x14ac:dyDescent="0.35">
      <c r="A1798" s="186"/>
      <c r="B1798" s="567"/>
      <c r="C1798" s="567"/>
      <c r="D1798" s="567"/>
      <c r="E1798" s="194"/>
      <c r="F1798" s="1215" t="s">
        <v>195</v>
      </c>
      <c r="G1798" s="1273" t="s">
        <v>196</v>
      </c>
      <c r="H1798" s="1273"/>
      <c r="I1798" s="1273"/>
      <c r="J1798" s="1273"/>
      <c r="K1798" s="196">
        <v>1.04</v>
      </c>
      <c r="L1798" s="186"/>
      <c r="M1798" s="50"/>
      <c r="N1798" s="50"/>
      <c r="O1798" s="5"/>
      <c r="P1798" s="9"/>
      <c r="Q1798" s="34"/>
      <c r="R1798" s="5"/>
      <c r="S1798" s="35"/>
    </row>
    <row r="1799" spans="1:19" ht="30" customHeight="1" x14ac:dyDescent="0.35">
      <c r="A1799" s="186"/>
      <c r="B1799" s="567"/>
      <c r="C1799" s="567"/>
      <c r="D1799" s="567"/>
      <c r="E1799" s="194"/>
      <c r="F1799" s="1216"/>
      <c r="G1799" s="1268" t="s">
        <v>2477</v>
      </c>
      <c r="H1799" s="1268"/>
      <c r="I1799" s="1268"/>
      <c r="J1799" s="1268"/>
      <c r="K1799" s="196">
        <v>1.05</v>
      </c>
      <c r="L1799" s="186"/>
      <c r="M1799" s="50"/>
      <c r="N1799" s="50"/>
      <c r="O1799" s="5"/>
      <c r="P1799" s="9"/>
      <c r="Q1799" s="34"/>
      <c r="R1799" s="5"/>
      <c r="S1799" s="35"/>
    </row>
    <row r="1800" spans="1:19" ht="30" customHeight="1" x14ac:dyDescent="0.35">
      <c r="A1800" s="186"/>
      <c r="B1800" s="186"/>
      <c r="C1800" s="503"/>
      <c r="D1800" s="503"/>
      <c r="E1800" s="503"/>
      <c r="F1800" s="503"/>
      <c r="G1800" s="503"/>
      <c r="H1800" s="503"/>
      <c r="I1800" s="503"/>
      <c r="J1800" s="551" t="s">
        <v>37</v>
      </c>
      <c r="K1800" s="193">
        <f>+K1797*K1798/K1799</f>
        <v>266.0769183548432</v>
      </c>
      <c r="L1800" s="186" t="s">
        <v>108</v>
      </c>
      <c r="M1800" s="50"/>
      <c r="N1800" s="50"/>
      <c r="O1800" s="5"/>
      <c r="P1800" s="9"/>
      <c r="Q1800" s="34"/>
      <c r="R1800" s="5"/>
      <c r="S1800" s="35"/>
    </row>
    <row r="1801" spans="1:19" ht="30" customHeight="1" x14ac:dyDescent="0.35">
      <c r="A1801" s="186"/>
      <c r="B1801" s="186"/>
      <c r="C1801" s="503"/>
      <c r="D1801" s="503"/>
      <c r="E1801" s="503"/>
      <c r="F1801" s="503"/>
      <c r="G1801" s="1227" t="s">
        <v>2845</v>
      </c>
      <c r="H1801" s="1227"/>
      <c r="I1801" s="1227"/>
      <c r="J1801" s="560">
        <f>VLOOKUP(B1789,'Mil Cost Premiums for PUCs'!$A$4:$R$285,18,FALSE)</f>
        <v>1.1561386038173773</v>
      </c>
      <c r="K1801" s="193">
        <f>+K1800*J1801</f>
        <v>307.62179689479871</v>
      </c>
      <c r="L1801" s="186" t="s">
        <v>108</v>
      </c>
      <c r="M1801" s="50"/>
      <c r="N1801" s="50"/>
      <c r="O1801" s="5"/>
      <c r="P1801" s="9"/>
      <c r="Q1801" s="34"/>
      <c r="R1801" s="5"/>
      <c r="S1801" s="35"/>
    </row>
    <row r="1802" spans="1:19" ht="30" customHeight="1" thickBot="1" x14ac:dyDescent="0.4">
      <c r="A1802" s="186"/>
      <c r="B1802" s="186"/>
      <c r="C1802" s="503"/>
      <c r="D1802" s="503"/>
      <c r="E1802" s="503"/>
      <c r="F1802" s="503"/>
      <c r="G1802" s="1227" t="s">
        <v>3000</v>
      </c>
      <c r="H1802" s="1227"/>
      <c r="I1802" s="1227"/>
      <c r="J1802" s="560">
        <v>1.0438745311870361</v>
      </c>
      <c r="K1802" s="193">
        <f>+K1801*J1802</f>
        <v>321.11855901647164</v>
      </c>
      <c r="L1802" s="186" t="s">
        <v>108</v>
      </c>
      <c r="M1802" s="50"/>
      <c r="N1802" s="50"/>
      <c r="O1802" s="5"/>
      <c r="P1802" s="9"/>
      <c r="Q1802" s="34"/>
      <c r="R1802" s="5"/>
      <c r="S1802" s="35"/>
    </row>
    <row r="1803" spans="1:19" ht="30" customHeight="1" thickBot="1" x14ac:dyDescent="0.4">
      <c r="A1803" s="1199"/>
      <c r="B1803" s="1200"/>
      <c r="C1803" s="1200"/>
      <c r="D1803" s="1200"/>
      <c r="E1803" s="1200"/>
      <c r="F1803" s="1200"/>
      <c r="G1803" s="1200"/>
      <c r="H1803" s="1200"/>
      <c r="I1803" s="1200"/>
      <c r="J1803" s="1200"/>
      <c r="K1803" s="1200"/>
      <c r="L1803" s="1201"/>
      <c r="N1803" s="50"/>
    </row>
    <row r="1804" spans="1:19" ht="30" customHeight="1" x14ac:dyDescent="0.35">
      <c r="A1804" s="388" t="s">
        <v>1</v>
      </c>
      <c r="B1804" s="389">
        <v>2162</v>
      </c>
      <c r="C1804" s="1345" t="s">
        <v>939</v>
      </c>
      <c r="D1804" s="1346"/>
      <c r="E1804" s="392" t="s">
        <v>3</v>
      </c>
      <c r="F1804" s="393" t="s">
        <v>108</v>
      </c>
      <c r="G1804" s="390" t="s">
        <v>38</v>
      </c>
      <c r="H1804" s="660">
        <v>6677.6923337950102</v>
      </c>
      <c r="I1804" s="392" t="s">
        <v>5</v>
      </c>
      <c r="J1804" s="1207" t="s">
        <v>2481</v>
      </c>
      <c r="K1804" s="1207"/>
      <c r="L1804" s="1208"/>
      <c r="M1804" s="50"/>
      <c r="N1804" s="50"/>
      <c r="O1804" s="5"/>
      <c r="P1804" s="9"/>
      <c r="Q1804" s="34"/>
      <c r="R1804" s="5"/>
      <c r="S1804" s="35"/>
    </row>
    <row r="1805" spans="1:19" ht="30" customHeight="1" x14ac:dyDescent="0.35">
      <c r="A1805" s="494" t="s">
        <v>187</v>
      </c>
      <c r="B1805" s="1280" t="s">
        <v>211</v>
      </c>
      <c r="C1805" s="1281"/>
      <c r="D1805" s="1282"/>
      <c r="E1805" s="566" t="s">
        <v>52</v>
      </c>
      <c r="F1805" s="566" t="s">
        <v>53</v>
      </c>
      <c r="G1805" s="1219" t="s">
        <v>54</v>
      </c>
      <c r="H1805" s="1220"/>
      <c r="I1805" s="1225" t="s">
        <v>188</v>
      </c>
      <c r="J1805" s="1226"/>
      <c r="K1805" s="1209" t="s">
        <v>180</v>
      </c>
      <c r="L1805" s="1210"/>
      <c r="M1805" s="50"/>
      <c r="N1805" s="50"/>
      <c r="O1805" s="5"/>
      <c r="P1805" s="9"/>
      <c r="Q1805" s="34"/>
      <c r="R1805" s="5"/>
      <c r="S1805" s="35"/>
    </row>
    <row r="1806" spans="1:19" ht="30" customHeight="1" x14ac:dyDescent="0.35">
      <c r="A1806" s="186" t="s">
        <v>842</v>
      </c>
      <c r="B1806" s="1389" t="s">
        <v>2482</v>
      </c>
      <c r="C1806" s="1390"/>
      <c r="D1806" s="1391"/>
      <c r="E1806" s="194">
        <f>205-3.15</f>
        <v>201.85</v>
      </c>
      <c r="F1806" s="186" t="s">
        <v>108</v>
      </c>
      <c r="G1806" s="186"/>
      <c r="H1806" s="186"/>
      <c r="I1806" s="1372">
        <v>1.1299999999999999</v>
      </c>
      <c r="J1806" s="1373"/>
      <c r="K1806" s="194">
        <f>+E1806*I1806</f>
        <v>228.09049999999996</v>
      </c>
      <c r="L1806" s="186" t="s">
        <v>108</v>
      </c>
      <c r="M1806" s="50"/>
      <c r="N1806" s="50"/>
      <c r="O1806" s="5"/>
      <c r="P1806" s="9"/>
      <c r="Q1806" s="34"/>
      <c r="R1806" s="5"/>
      <c r="S1806" s="35"/>
    </row>
    <row r="1807" spans="1:19" ht="30" customHeight="1" x14ac:dyDescent="0.35">
      <c r="A1807" s="186" t="s">
        <v>274</v>
      </c>
      <c r="B1807" s="1212" t="s">
        <v>2461</v>
      </c>
      <c r="C1807" s="1213"/>
      <c r="D1807" s="1214"/>
      <c r="E1807" s="193">
        <v>51.5</v>
      </c>
      <c r="F1807" s="186" t="s">
        <v>937</v>
      </c>
      <c r="G1807" s="560">
        <f>144/H1804</f>
        <v>2.1564335821707904E-2</v>
      </c>
      <c r="H1807" s="534" t="s">
        <v>2483</v>
      </c>
      <c r="I1807" s="1372">
        <v>1.1299999999999999</v>
      </c>
      <c r="J1807" s="1373"/>
      <c r="K1807" s="194">
        <f>+E1807*G1807*I1807</f>
        <v>1.2549365231442915</v>
      </c>
      <c r="L1807" s="186" t="s">
        <v>108</v>
      </c>
      <c r="M1807" s="50"/>
      <c r="N1807" s="50"/>
      <c r="O1807" s="5"/>
      <c r="P1807" s="9"/>
      <c r="Q1807" s="34"/>
      <c r="R1807" s="5"/>
      <c r="S1807" s="35"/>
    </row>
    <row r="1808" spans="1:19" ht="30" customHeight="1" x14ac:dyDescent="0.35">
      <c r="A1808" s="186" t="s">
        <v>249</v>
      </c>
      <c r="B1808" s="1212" t="s">
        <v>2721</v>
      </c>
      <c r="C1808" s="1213"/>
      <c r="D1808" s="1214"/>
      <c r="E1808" s="194">
        <v>6.03</v>
      </c>
      <c r="F1808" s="127" t="s">
        <v>108</v>
      </c>
      <c r="G1808" s="503"/>
      <c r="H1808" s="534"/>
      <c r="I1808" s="1372">
        <v>1.1299999999999999</v>
      </c>
      <c r="J1808" s="1373"/>
      <c r="K1808" s="194">
        <f>+E1808*I1808</f>
        <v>6.8138999999999994</v>
      </c>
      <c r="L1808" s="186" t="s">
        <v>108</v>
      </c>
      <c r="M1808" s="50"/>
      <c r="N1808" s="50"/>
      <c r="O1808" s="5"/>
      <c r="P1808" s="9"/>
      <c r="Q1808" s="34"/>
      <c r="R1808" s="5"/>
      <c r="S1808" s="35"/>
    </row>
    <row r="1809" spans="1:19" ht="30" customHeight="1" x14ac:dyDescent="0.35">
      <c r="A1809" s="186" t="s">
        <v>249</v>
      </c>
      <c r="B1809" s="1212" t="s">
        <v>938</v>
      </c>
      <c r="C1809" s="1213"/>
      <c r="D1809" s="1214"/>
      <c r="E1809" s="194">
        <f>+E1808*0.15</f>
        <v>0.90449999999999997</v>
      </c>
      <c r="F1809" s="127" t="s">
        <v>108</v>
      </c>
      <c r="G1809" s="503"/>
      <c r="H1809" s="534"/>
      <c r="I1809" s="1372">
        <v>1.1299999999999999</v>
      </c>
      <c r="J1809" s="1373"/>
      <c r="K1809" s="194">
        <f>+E1809*I1809</f>
        <v>1.0220849999999999</v>
      </c>
      <c r="L1809" s="186" t="s">
        <v>108</v>
      </c>
      <c r="M1809" s="50"/>
      <c r="N1809" s="50"/>
      <c r="O1809" s="5"/>
      <c r="P1809" s="9"/>
      <c r="Q1809" s="34"/>
      <c r="R1809" s="5"/>
      <c r="S1809" s="35"/>
    </row>
    <row r="1810" spans="1:19" ht="30" customHeight="1" x14ac:dyDescent="0.35">
      <c r="A1810" s="186" t="s">
        <v>249</v>
      </c>
      <c r="B1810" s="1212" t="s">
        <v>927</v>
      </c>
      <c r="C1810" s="1213"/>
      <c r="D1810" s="1214"/>
      <c r="E1810" s="193">
        <f xml:space="preserve"> 0.72+((1.42+2.11)/2)</f>
        <v>2.4849999999999999</v>
      </c>
      <c r="F1810" s="127" t="s">
        <v>108</v>
      </c>
      <c r="G1810" s="503"/>
      <c r="H1810" s="534"/>
      <c r="I1810" s="1372">
        <v>1.1299999999999999</v>
      </c>
      <c r="J1810" s="1373"/>
      <c r="K1810" s="194">
        <f>+E1810*I1810</f>
        <v>2.8080499999999997</v>
      </c>
      <c r="L1810" s="186" t="s">
        <v>108</v>
      </c>
      <c r="M1810" s="50"/>
      <c r="N1810" s="50"/>
      <c r="O1810" s="5"/>
      <c r="P1810" s="9"/>
      <c r="Q1810" s="34"/>
      <c r="R1810" s="5"/>
      <c r="S1810" s="35"/>
    </row>
    <row r="1811" spans="1:19" ht="30" customHeight="1" x14ac:dyDescent="0.35">
      <c r="A1811" s="186" t="s">
        <v>333</v>
      </c>
      <c r="B1811" s="1212" t="s">
        <v>932</v>
      </c>
      <c r="C1811" s="1213"/>
      <c r="D1811" s="1214"/>
      <c r="E1811" s="10">
        <v>162000</v>
      </c>
      <c r="F1811" s="755" t="s">
        <v>370</v>
      </c>
      <c r="G1811" s="896">
        <f>+E1811/H1804</f>
        <v>24.259877799421393</v>
      </c>
      <c r="H1811" s="534" t="s">
        <v>933</v>
      </c>
      <c r="I1811" s="1372">
        <v>1.26</v>
      </c>
      <c r="J1811" s="1373"/>
      <c r="K1811" s="194">
        <f>+G1811*I1811</f>
        <v>30.567446027270954</v>
      </c>
      <c r="L1811" s="186" t="s">
        <v>108</v>
      </c>
      <c r="M1811" s="50"/>
      <c r="N1811" s="50"/>
      <c r="O1811" s="5"/>
      <c r="P1811" s="9"/>
      <c r="Q1811" s="34"/>
      <c r="R1811" s="5"/>
      <c r="S1811" s="35"/>
    </row>
    <row r="1812" spans="1:19" ht="30" customHeight="1" x14ac:dyDescent="0.35">
      <c r="A1812" s="186"/>
      <c r="B1812" s="1212"/>
      <c r="C1812" s="1213"/>
      <c r="D1812" s="1214"/>
      <c r="E1812" s="194"/>
      <c r="F1812" s="186"/>
      <c r="G1812" s="503"/>
      <c r="H1812" s="534"/>
      <c r="I1812" s="186"/>
      <c r="J1812" s="186" t="s">
        <v>223</v>
      </c>
      <c r="K1812" s="194">
        <f>SUM(K1806:K1811)</f>
        <v>270.55691755041522</v>
      </c>
      <c r="L1812" s="186" t="s">
        <v>108</v>
      </c>
      <c r="M1812" s="50"/>
      <c r="N1812" s="50"/>
      <c r="O1812" s="5"/>
      <c r="P1812" s="9"/>
      <c r="Q1812" s="34"/>
      <c r="R1812" s="5"/>
      <c r="S1812" s="35"/>
    </row>
    <row r="1813" spans="1:19" ht="30" customHeight="1" x14ac:dyDescent="0.35">
      <c r="A1813" s="186"/>
      <c r="B1813" s="567"/>
      <c r="C1813" s="567"/>
      <c r="D1813" s="567"/>
      <c r="E1813" s="194"/>
      <c r="F1813" s="1215" t="s">
        <v>195</v>
      </c>
      <c r="G1813" s="1273" t="s">
        <v>196</v>
      </c>
      <c r="H1813" s="1273"/>
      <c r="I1813" s="1273"/>
      <c r="J1813" s="1273"/>
      <c r="K1813" s="196">
        <v>1.04</v>
      </c>
      <c r="L1813" s="186"/>
      <c r="M1813" s="50"/>
      <c r="N1813" s="50"/>
      <c r="O1813" s="5"/>
      <c r="P1813" s="9"/>
      <c r="Q1813" s="34"/>
      <c r="R1813" s="5"/>
      <c r="S1813" s="35"/>
    </row>
    <row r="1814" spans="1:19" ht="30" customHeight="1" x14ac:dyDescent="0.35">
      <c r="A1814" s="186"/>
      <c r="B1814" s="567"/>
      <c r="C1814" s="567"/>
      <c r="D1814" s="567"/>
      <c r="E1814" s="194"/>
      <c r="F1814" s="1216"/>
      <c r="G1814" s="1268" t="s">
        <v>2477</v>
      </c>
      <c r="H1814" s="1268"/>
      <c r="I1814" s="1268"/>
      <c r="J1814" s="1268"/>
      <c r="K1814" s="196">
        <v>1.05</v>
      </c>
      <c r="L1814" s="186"/>
      <c r="M1814" s="50"/>
      <c r="N1814" s="50"/>
      <c r="O1814" s="5"/>
      <c r="P1814" s="9"/>
      <c r="Q1814" s="34"/>
      <c r="R1814" s="5"/>
      <c r="S1814" s="35"/>
    </row>
    <row r="1815" spans="1:19" ht="30" customHeight="1" x14ac:dyDescent="0.35">
      <c r="A1815" s="186"/>
      <c r="B1815" s="186"/>
      <c r="C1815" s="503"/>
      <c r="D1815" s="503"/>
      <c r="E1815" s="503"/>
      <c r="F1815" s="503"/>
      <c r="G1815" s="503"/>
      <c r="H1815" s="503"/>
      <c r="I1815" s="503"/>
      <c r="J1815" s="551" t="s">
        <v>37</v>
      </c>
      <c r="K1815" s="193">
        <f>+K1812*K1813/K1814</f>
        <v>267.98018500231603</v>
      </c>
      <c r="L1815" s="186" t="s">
        <v>108</v>
      </c>
      <c r="M1815" s="50"/>
      <c r="N1815" s="50"/>
      <c r="O1815" s="5"/>
      <c r="P1815" s="9"/>
      <c r="Q1815" s="34"/>
      <c r="R1815" s="5"/>
      <c r="S1815" s="35"/>
    </row>
    <row r="1816" spans="1:19" ht="30" customHeight="1" x14ac:dyDescent="0.35">
      <c r="A1816" s="186"/>
      <c r="B1816" s="186"/>
      <c r="C1816" s="503"/>
      <c r="D1816" s="503"/>
      <c r="E1816" s="503"/>
      <c r="F1816" s="503"/>
      <c r="G1816" s="1198" t="s">
        <v>257</v>
      </c>
      <c r="H1816" s="1198"/>
      <c r="I1816" s="1198"/>
      <c r="J1816" s="560">
        <f>VLOOKUP(B1804,'Mil Cost Premiums for PUCs'!$A$4:$R$285,18,FALSE)</f>
        <v>1.1561386038173773</v>
      </c>
      <c r="K1816" s="193">
        <f>+K1815*J1816</f>
        <v>309.82223693930013</v>
      </c>
      <c r="L1816" s="186" t="s">
        <v>108</v>
      </c>
      <c r="N1816" s="50"/>
      <c r="O1816" s="5"/>
      <c r="P1816" s="9"/>
      <c r="Q1816" s="34"/>
      <c r="R1816" s="5"/>
      <c r="S1816" s="35"/>
    </row>
    <row r="1817" spans="1:19" ht="30" customHeight="1" thickBot="1" x14ac:dyDescent="0.4">
      <c r="A1817" s="186"/>
      <c r="B1817" s="186"/>
      <c r="C1817" s="503"/>
      <c r="D1817" s="503"/>
      <c r="E1817" s="503"/>
      <c r="F1817" s="503"/>
      <c r="G1817" s="1309" t="s">
        <v>3000</v>
      </c>
      <c r="H1817" s="1310"/>
      <c r="I1817" s="1311"/>
      <c r="J1817" s="560">
        <v>1.0438745311870361</v>
      </c>
      <c r="K1817" s="193">
        <f>+K1816*J1817</f>
        <v>323.41554233633076</v>
      </c>
      <c r="L1817" s="186" t="s">
        <v>108</v>
      </c>
      <c r="O1817" s="57"/>
      <c r="P1817" s="9"/>
      <c r="Q1817" s="34"/>
      <c r="R1817" s="5"/>
      <c r="S1817" s="35"/>
    </row>
    <row r="1818" spans="1:19" ht="30" customHeight="1" thickBot="1" x14ac:dyDescent="0.4">
      <c r="A1818" s="1199"/>
      <c r="B1818" s="1200"/>
      <c r="C1818" s="1200"/>
      <c r="D1818" s="1200"/>
      <c r="E1818" s="1200"/>
      <c r="F1818" s="1200"/>
      <c r="G1818" s="1200"/>
      <c r="H1818" s="1200"/>
      <c r="I1818" s="1200"/>
      <c r="J1818" s="1200"/>
      <c r="K1818" s="1200"/>
      <c r="L1818" s="1201"/>
      <c r="M1818" s="96"/>
      <c r="N1818" s="50"/>
      <c r="O1818" s="5"/>
      <c r="P1818" s="9"/>
      <c r="Q1818" s="34"/>
      <c r="R1818" s="5"/>
      <c r="S1818" s="35"/>
    </row>
    <row r="1819" spans="1:19" ht="30" customHeight="1" x14ac:dyDescent="0.35">
      <c r="A1819" s="388" t="s">
        <v>1</v>
      </c>
      <c r="B1819" s="389">
        <v>2163</v>
      </c>
      <c r="C1819" s="1487" t="s">
        <v>941</v>
      </c>
      <c r="D1819" s="1488"/>
      <c r="E1819" s="392" t="s">
        <v>3</v>
      </c>
      <c r="F1819" s="393" t="s">
        <v>108</v>
      </c>
      <c r="G1819" s="390" t="s">
        <v>38</v>
      </c>
      <c r="H1819" s="886">
        <v>45756</v>
      </c>
      <c r="I1819" s="392" t="s">
        <v>5</v>
      </c>
      <c r="J1819" s="1207" t="s">
        <v>2874</v>
      </c>
      <c r="K1819" s="1207"/>
      <c r="L1819" s="1208"/>
      <c r="M1819" s="50"/>
      <c r="N1819" s="50"/>
      <c r="O1819" s="5"/>
      <c r="P1819" s="9"/>
      <c r="Q1819" s="34"/>
      <c r="R1819" s="5"/>
      <c r="S1819" s="35"/>
    </row>
    <row r="1820" spans="1:19" ht="30" customHeight="1" x14ac:dyDescent="0.35">
      <c r="A1820" s="494" t="s">
        <v>187</v>
      </c>
      <c r="B1820" s="1280" t="s">
        <v>211</v>
      </c>
      <c r="C1820" s="1281"/>
      <c r="D1820" s="1282"/>
      <c r="E1820" s="494" t="s">
        <v>52</v>
      </c>
      <c r="F1820" s="494" t="s">
        <v>53</v>
      </c>
      <c r="G1820" s="1209" t="s">
        <v>54</v>
      </c>
      <c r="H1820" s="1210"/>
      <c r="I1820" s="185" t="s">
        <v>188</v>
      </c>
      <c r="J1820" s="185"/>
      <c r="K1820" s="1209" t="s">
        <v>180</v>
      </c>
      <c r="L1820" s="1210"/>
      <c r="M1820" s="50"/>
      <c r="N1820" s="50"/>
      <c r="O1820" s="5"/>
      <c r="P1820" s="9"/>
      <c r="Q1820" s="34"/>
      <c r="R1820" s="5"/>
      <c r="S1820" s="35"/>
    </row>
    <row r="1821" spans="1:19" ht="30" customHeight="1" x14ac:dyDescent="0.35">
      <c r="A1821" s="186" t="s">
        <v>842</v>
      </c>
      <c r="B1821" s="1389" t="s">
        <v>2482</v>
      </c>
      <c r="C1821" s="1390"/>
      <c r="D1821" s="1391"/>
      <c r="E1821" s="194">
        <f>205-3.15</f>
        <v>201.85</v>
      </c>
      <c r="F1821" s="186" t="s">
        <v>108</v>
      </c>
      <c r="G1821" s="186"/>
      <c r="H1821" s="186"/>
      <c r="I1821" s="186">
        <v>1.1399999999999999</v>
      </c>
      <c r="J1821" s="186"/>
      <c r="K1821" s="194">
        <f>+E1821*I1821</f>
        <v>230.10899999999998</v>
      </c>
      <c r="L1821" s="186" t="s">
        <v>108</v>
      </c>
      <c r="M1821" s="50"/>
      <c r="N1821" s="50"/>
      <c r="P1821" s="34"/>
      <c r="Q1821" s="5"/>
      <c r="R1821" s="35"/>
    </row>
    <row r="1822" spans="1:19" ht="30" customHeight="1" x14ac:dyDescent="0.35">
      <c r="A1822" s="186" t="s">
        <v>333</v>
      </c>
      <c r="B1822" s="1212" t="s">
        <v>942</v>
      </c>
      <c r="C1822" s="1213"/>
      <c r="D1822" s="1214"/>
      <c r="E1822" s="193">
        <v>250000</v>
      </c>
      <c r="F1822" s="186" t="s">
        <v>936</v>
      </c>
      <c r="G1822" s="875">
        <f>+H1819</f>
        <v>45756</v>
      </c>
      <c r="H1822" s="534" t="s">
        <v>933</v>
      </c>
      <c r="I1822" s="186">
        <v>1.01</v>
      </c>
      <c r="J1822" s="186"/>
      <c r="K1822" s="194">
        <f>+(E1822/G1822)*2*I1822</f>
        <v>11.03680391642626</v>
      </c>
      <c r="L1822" s="186" t="s">
        <v>108</v>
      </c>
      <c r="M1822" s="50"/>
      <c r="N1822" s="50"/>
      <c r="P1822" s="34"/>
      <c r="Q1822" s="5"/>
      <c r="R1822" s="35"/>
    </row>
    <row r="1823" spans="1:19" ht="30" customHeight="1" x14ac:dyDescent="0.35">
      <c r="A1823" s="186" t="s">
        <v>249</v>
      </c>
      <c r="B1823" s="1212" t="s">
        <v>943</v>
      </c>
      <c r="C1823" s="1213"/>
      <c r="D1823" s="1214"/>
      <c r="E1823" s="194">
        <v>3.76</v>
      </c>
      <c r="F1823" s="186" t="s">
        <v>108</v>
      </c>
      <c r="G1823" s="503"/>
      <c r="H1823" s="534"/>
      <c r="I1823" s="186">
        <v>1.1399999999999999</v>
      </c>
      <c r="J1823" s="186"/>
      <c r="K1823" s="194">
        <f>+E1823*I1823</f>
        <v>4.2863999999999995</v>
      </c>
      <c r="L1823" s="186" t="s">
        <v>108</v>
      </c>
      <c r="M1823" s="50"/>
      <c r="N1823" s="50"/>
    </row>
    <row r="1824" spans="1:19" ht="30" customHeight="1" x14ac:dyDescent="0.35">
      <c r="A1824" s="186" t="s">
        <v>249</v>
      </c>
      <c r="B1824" s="1212" t="s">
        <v>938</v>
      </c>
      <c r="C1824" s="1213"/>
      <c r="D1824" s="1214"/>
      <c r="E1824" s="194">
        <f>+E1823*0.15</f>
        <v>0.56399999999999995</v>
      </c>
      <c r="F1824" s="186"/>
      <c r="G1824" s="503"/>
      <c r="H1824" s="534"/>
      <c r="I1824" s="186">
        <v>1.1399999999999999</v>
      </c>
      <c r="J1824" s="186"/>
      <c r="K1824" s="194">
        <f>+E1824*I1824</f>
        <v>0.64295999999999986</v>
      </c>
      <c r="L1824" s="186"/>
      <c r="M1824" s="50"/>
      <c r="N1824" s="50"/>
      <c r="P1824" s="34"/>
      <c r="Q1824" s="5"/>
      <c r="R1824" s="35"/>
    </row>
    <row r="1825" spans="1:19" ht="30" customHeight="1" x14ac:dyDescent="0.35">
      <c r="A1825" s="186" t="s">
        <v>249</v>
      </c>
      <c r="B1825" s="1212" t="s">
        <v>927</v>
      </c>
      <c r="C1825" s="1213"/>
      <c r="D1825" s="1214"/>
      <c r="E1825" s="193">
        <f xml:space="preserve"> 0.72+((1.42+2.11)/2)</f>
        <v>2.4849999999999999</v>
      </c>
      <c r="F1825" s="186"/>
      <c r="G1825" s="503"/>
      <c r="H1825" s="534"/>
      <c r="I1825" s="186">
        <v>1.1399999999999999</v>
      </c>
      <c r="J1825" s="186"/>
      <c r="K1825" s="194">
        <f>+E1825*I1825</f>
        <v>2.8328999999999995</v>
      </c>
      <c r="L1825" s="186"/>
      <c r="M1825" s="96"/>
      <c r="N1825" s="50"/>
      <c r="P1825" s="34"/>
      <c r="Q1825" s="5"/>
      <c r="R1825" s="35"/>
    </row>
    <row r="1826" spans="1:19" ht="30" customHeight="1" x14ac:dyDescent="0.35">
      <c r="A1826" s="186"/>
      <c r="B1826" s="1212"/>
      <c r="C1826" s="1213"/>
      <c r="D1826" s="1214"/>
      <c r="E1826" s="194"/>
      <c r="F1826" s="186"/>
      <c r="G1826" s="503"/>
      <c r="H1826" s="534"/>
      <c r="I1826" s="186"/>
      <c r="J1826" s="186" t="s">
        <v>223</v>
      </c>
      <c r="K1826" s="194">
        <f>SUM(K1821:K1825)</f>
        <v>248.90806391642622</v>
      </c>
      <c r="L1826" s="186" t="s">
        <v>108</v>
      </c>
      <c r="M1826" s="50"/>
      <c r="N1826" s="50"/>
      <c r="P1826" s="34"/>
      <c r="Q1826" s="5"/>
      <c r="R1826" s="35"/>
    </row>
    <row r="1827" spans="1:19" ht="30" customHeight="1" x14ac:dyDescent="0.35">
      <c r="A1827" s="186"/>
      <c r="B1827" s="567"/>
      <c r="C1827" s="567"/>
      <c r="D1827" s="567"/>
      <c r="E1827" s="194"/>
      <c r="F1827" s="1215" t="s">
        <v>195</v>
      </c>
      <c r="G1827" s="1329" t="s">
        <v>196</v>
      </c>
      <c r="H1827" s="1330"/>
      <c r="I1827" s="1330"/>
      <c r="J1827" s="1331"/>
      <c r="K1827" s="196">
        <v>1.05</v>
      </c>
      <c r="L1827" s="186"/>
      <c r="M1827" s="50"/>
      <c r="P1827" s="34"/>
      <c r="Q1827" s="5"/>
      <c r="R1827" s="35"/>
    </row>
    <row r="1828" spans="1:19" ht="30" customHeight="1" x14ac:dyDescent="0.35">
      <c r="A1828" s="186"/>
      <c r="B1828" s="567"/>
      <c r="C1828" s="567"/>
      <c r="D1828" s="567"/>
      <c r="E1828" s="194"/>
      <c r="F1828" s="1216"/>
      <c r="G1828" s="1268" t="s">
        <v>2875</v>
      </c>
      <c r="H1828" s="1268"/>
      <c r="I1828" s="1268"/>
      <c r="J1828" s="1268"/>
      <c r="K1828" s="196">
        <v>1.07</v>
      </c>
      <c r="L1828" s="186"/>
      <c r="M1828" s="50"/>
      <c r="N1828" s="50"/>
      <c r="P1828" s="34"/>
      <c r="Q1828" s="5"/>
      <c r="R1828" s="35"/>
    </row>
    <row r="1829" spans="1:19" ht="30" customHeight="1" x14ac:dyDescent="0.35">
      <c r="A1829" s="186"/>
      <c r="B1829" s="186"/>
      <c r="C1829" s="503"/>
      <c r="D1829" s="503"/>
      <c r="E1829" s="503"/>
      <c r="F1829" s="503"/>
      <c r="G1829" s="503"/>
      <c r="H1829" s="503"/>
      <c r="I1829" s="503"/>
      <c r="J1829" s="503" t="s">
        <v>37</v>
      </c>
      <c r="K1829" s="193">
        <f>+K1826*K1827/K1828</f>
        <v>244.25557674041823</v>
      </c>
      <c r="L1829" s="186" t="s">
        <v>108</v>
      </c>
      <c r="M1829" s="50"/>
      <c r="N1829" s="50"/>
      <c r="P1829" s="34"/>
      <c r="Q1829" s="5"/>
      <c r="R1829" s="35"/>
    </row>
    <row r="1830" spans="1:19" ht="30" customHeight="1" thickBot="1" x14ac:dyDescent="0.4">
      <c r="A1830" s="186"/>
      <c r="B1830" s="186"/>
      <c r="C1830" s="503"/>
      <c r="D1830" s="503"/>
      <c r="E1830" s="503"/>
      <c r="F1830" s="503"/>
      <c r="G1830" s="1374" t="s">
        <v>257</v>
      </c>
      <c r="H1830" s="1375"/>
      <c r="I1830" s="1376"/>
      <c r="J1830" s="560">
        <f>VLOOKUP(B1819,'Mil Cost Premiums for PUCs'!$A$4:$R$285,18,FALSE)</f>
        <v>1.1561386038173773</v>
      </c>
      <c r="K1830" s="193">
        <f>+K1829*J1830</f>
        <v>282.39330146727542</v>
      </c>
      <c r="L1830" s="186" t="s">
        <v>108</v>
      </c>
      <c r="M1830" s="96"/>
      <c r="N1830" s="50"/>
      <c r="P1830" s="34"/>
      <c r="Q1830" s="5"/>
      <c r="R1830" s="35"/>
    </row>
    <row r="1831" spans="1:19" ht="30" customHeight="1" thickBot="1" x14ac:dyDescent="0.4">
      <c r="A1831" s="1199"/>
      <c r="B1831" s="1200"/>
      <c r="C1831" s="1200"/>
      <c r="D1831" s="1200"/>
      <c r="E1831" s="1200"/>
      <c r="F1831" s="1200"/>
      <c r="G1831" s="1200"/>
      <c r="H1831" s="1200"/>
      <c r="I1831" s="1200"/>
      <c r="J1831" s="1200"/>
      <c r="K1831" s="1200"/>
      <c r="L1831" s="1201"/>
      <c r="P1831" s="34"/>
      <c r="Q1831" s="5"/>
      <c r="R1831" s="35"/>
    </row>
    <row r="1832" spans="1:19" ht="40.5" customHeight="1" x14ac:dyDescent="0.35">
      <c r="A1832" s="388" t="s">
        <v>1</v>
      </c>
      <c r="B1832" s="389">
        <v>2171</v>
      </c>
      <c r="C1832" s="1290" t="s">
        <v>944</v>
      </c>
      <c r="D1832" s="1291"/>
      <c r="E1832" s="392" t="s">
        <v>3</v>
      </c>
      <c r="F1832" s="393" t="s">
        <v>108</v>
      </c>
      <c r="G1832" s="390" t="s">
        <v>38</v>
      </c>
      <c r="H1832" s="135">
        <v>7518</v>
      </c>
      <c r="I1832" s="392" t="s">
        <v>5</v>
      </c>
      <c r="J1832" s="1207" t="s">
        <v>837</v>
      </c>
      <c r="K1832" s="1207"/>
      <c r="L1832" s="1208"/>
      <c r="M1832" s="96"/>
      <c r="N1832" s="50"/>
      <c r="P1832" s="34"/>
      <c r="Q1832" s="5"/>
      <c r="R1832" s="35"/>
    </row>
    <row r="1833" spans="1:19" ht="30" customHeight="1" x14ac:dyDescent="0.35">
      <c r="A1833" s="185" t="s">
        <v>177</v>
      </c>
      <c r="B1833" s="1272" t="s">
        <v>7</v>
      </c>
      <c r="C1833" s="1272"/>
      <c r="D1833" s="1272"/>
      <c r="E1833" s="397" t="s">
        <v>52</v>
      </c>
      <c r="F1833" s="185" t="s">
        <v>178</v>
      </c>
      <c r="G1833" s="1292" t="s">
        <v>9</v>
      </c>
      <c r="H1833" s="1293"/>
      <c r="I1833" s="1221" t="s">
        <v>945</v>
      </c>
      <c r="J1833" s="1222"/>
      <c r="K1833" s="1209" t="s">
        <v>180</v>
      </c>
      <c r="L1833" s="1210"/>
      <c r="M1833" s="96"/>
      <c r="N1833" s="50"/>
      <c r="O1833" s="5"/>
      <c r="P1833" s="9"/>
      <c r="Q1833" s="34"/>
      <c r="R1833" s="5"/>
      <c r="S1833" s="35"/>
    </row>
    <row r="1834" spans="1:19" ht="30" customHeight="1" x14ac:dyDescent="0.35">
      <c r="A1834" s="186">
        <v>21710</v>
      </c>
      <c r="B1834" s="1202" t="s">
        <v>946</v>
      </c>
      <c r="C1834" s="1203"/>
      <c r="D1834" s="1204"/>
      <c r="E1834" s="194">
        <v>152.35</v>
      </c>
      <c r="F1834" s="203">
        <v>17000</v>
      </c>
      <c r="G1834" s="186" t="s">
        <v>108</v>
      </c>
      <c r="H1834" s="186"/>
      <c r="I1834" s="1332">
        <f>+'FY2024 MILCON Inflation Table'!$F$13</f>
        <v>1.4708740491364725</v>
      </c>
      <c r="J1834" s="1333"/>
      <c r="K1834" s="199">
        <f>+E1834*I1834</f>
        <v>224.08766138594157</v>
      </c>
      <c r="L1834" s="401" t="s">
        <v>108</v>
      </c>
      <c r="M1834" s="50"/>
      <c r="N1834" s="50"/>
      <c r="O1834" s="5"/>
      <c r="P1834" s="9"/>
      <c r="Q1834" s="34"/>
      <c r="R1834" s="5"/>
      <c r="S1834" s="35"/>
    </row>
    <row r="1835" spans="1:19" ht="30" customHeight="1" thickBot="1" x14ac:dyDescent="0.4">
      <c r="A1835" s="186"/>
      <c r="B1835" s="1202"/>
      <c r="C1835" s="1203"/>
      <c r="D1835" s="1204"/>
      <c r="E1835" s="520"/>
      <c r="F1835" s="784"/>
      <c r="G1835" s="520"/>
      <c r="H1835" s="750"/>
      <c r="I1835" s="503"/>
      <c r="J1835" s="494" t="s">
        <v>37</v>
      </c>
      <c r="K1835" s="190">
        <f>AVERAGE(K1834:K1834)</f>
        <v>224.08766138594157</v>
      </c>
      <c r="L1835" s="401" t="s">
        <v>108</v>
      </c>
      <c r="M1835" s="50"/>
      <c r="N1835" s="50"/>
      <c r="P1835" s="34"/>
      <c r="Q1835" s="5"/>
      <c r="R1835" s="35"/>
    </row>
    <row r="1836" spans="1:19" ht="30" customHeight="1" thickBot="1" x14ac:dyDescent="0.4">
      <c r="A1836" s="1199"/>
      <c r="B1836" s="1200"/>
      <c r="C1836" s="1200"/>
      <c r="D1836" s="1200"/>
      <c r="E1836" s="1200"/>
      <c r="F1836" s="1200"/>
      <c r="G1836" s="1200"/>
      <c r="H1836" s="1200"/>
      <c r="I1836" s="1200"/>
      <c r="J1836" s="1200"/>
      <c r="K1836" s="1200"/>
      <c r="L1836" s="1201"/>
      <c r="N1836" s="50"/>
      <c r="P1836" s="34"/>
      <c r="Q1836" s="5"/>
      <c r="R1836" s="35"/>
    </row>
    <row r="1837" spans="1:19" ht="30" customHeight="1" x14ac:dyDescent="0.35">
      <c r="A1837" s="388" t="s">
        <v>1</v>
      </c>
      <c r="B1837" s="389">
        <v>2172</v>
      </c>
      <c r="C1837" s="1290" t="s">
        <v>947</v>
      </c>
      <c r="D1837" s="1291"/>
      <c r="E1837" s="392" t="s">
        <v>3</v>
      </c>
      <c r="F1837" s="393" t="s">
        <v>108</v>
      </c>
      <c r="G1837" s="390" t="s">
        <v>38</v>
      </c>
      <c r="H1837" s="135">
        <v>17757</v>
      </c>
      <c r="I1837" s="392" t="s">
        <v>5</v>
      </c>
      <c r="J1837" s="1207" t="s">
        <v>837</v>
      </c>
      <c r="K1837" s="1207"/>
      <c r="L1837" s="1208"/>
      <c r="M1837" s="96"/>
      <c r="N1837" s="50"/>
      <c r="O1837" s="5"/>
      <c r="P1837" s="9"/>
      <c r="Q1837" s="34"/>
      <c r="R1837" s="5"/>
      <c r="S1837" s="35"/>
    </row>
    <row r="1838" spans="1:19" ht="30" customHeight="1" x14ac:dyDescent="0.35">
      <c r="A1838" s="185" t="s">
        <v>177</v>
      </c>
      <c r="B1838" s="1272" t="s">
        <v>7</v>
      </c>
      <c r="C1838" s="1272"/>
      <c r="D1838" s="1272"/>
      <c r="E1838" s="397" t="s">
        <v>52</v>
      </c>
      <c r="F1838" s="185" t="s">
        <v>178</v>
      </c>
      <c r="G1838" s="1292" t="s">
        <v>9</v>
      </c>
      <c r="H1838" s="1293"/>
      <c r="I1838" s="1221" t="s">
        <v>945</v>
      </c>
      <c r="J1838" s="1222"/>
      <c r="K1838" s="1209" t="s">
        <v>180</v>
      </c>
      <c r="L1838" s="1210"/>
      <c r="M1838" s="96"/>
      <c r="N1838" s="50"/>
      <c r="O1838" s="5"/>
      <c r="P1838" s="9"/>
      <c r="Q1838" s="34"/>
      <c r="R1838" s="5"/>
      <c r="S1838" s="35"/>
    </row>
    <row r="1839" spans="1:19" ht="30" customHeight="1" x14ac:dyDescent="0.35">
      <c r="A1839" s="186">
        <v>21710</v>
      </c>
      <c r="B1839" s="1202" t="s">
        <v>946</v>
      </c>
      <c r="C1839" s="1203"/>
      <c r="D1839" s="1204"/>
      <c r="E1839" s="194">
        <v>152.35</v>
      </c>
      <c r="F1839" s="203">
        <v>17000</v>
      </c>
      <c r="G1839" s="186" t="s">
        <v>108</v>
      </c>
      <c r="H1839" s="186"/>
      <c r="I1839" s="1332">
        <f>+'FY2024 MILCON Inflation Table'!$F$13</f>
        <v>1.4708740491364725</v>
      </c>
      <c r="J1839" s="1333"/>
      <c r="K1839" s="199">
        <f>+E1839*I1839</f>
        <v>224.08766138594157</v>
      </c>
      <c r="L1839" s="186" t="s">
        <v>108</v>
      </c>
      <c r="M1839" s="50"/>
      <c r="N1839" s="50"/>
      <c r="O1839" s="5"/>
      <c r="P1839" s="9"/>
      <c r="Q1839" s="34"/>
      <c r="R1839" s="5"/>
      <c r="S1839" s="35"/>
    </row>
    <row r="1840" spans="1:19" ht="30" customHeight="1" thickBot="1" x14ac:dyDescent="0.4">
      <c r="A1840" s="186"/>
      <c r="B1840" s="1202"/>
      <c r="C1840" s="1203"/>
      <c r="D1840" s="1204"/>
      <c r="E1840" s="520"/>
      <c r="F1840" s="784"/>
      <c r="G1840" s="520"/>
      <c r="H1840" s="750"/>
      <c r="I1840" s="503"/>
      <c r="J1840" s="494" t="s">
        <v>37</v>
      </c>
      <c r="K1840" s="190">
        <f>AVERAGE(K1839:K1839)</f>
        <v>224.08766138594157</v>
      </c>
      <c r="L1840" s="401" t="s">
        <v>108</v>
      </c>
      <c r="M1840" s="50"/>
      <c r="N1840" s="50"/>
      <c r="O1840" s="5"/>
      <c r="P1840" s="9"/>
      <c r="Q1840" s="34"/>
      <c r="R1840" s="5"/>
      <c r="S1840" s="35"/>
    </row>
    <row r="1841" spans="1:19" ht="30" customHeight="1" thickBot="1" x14ac:dyDescent="0.4">
      <c r="A1841" s="1199"/>
      <c r="B1841" s="1200"/>
      <c r="C1841" s="1200"/>
      <c r="D1841" s="1200"/>
      <c r="E1841" s="1200"/>
      <c r="F1841" s="1200"/>
      <c r="G1841" s="1200"/>
      <c r="H1841" s="1200"/>
      <c r="I1841" s="1200"/>
      <c r="J1841" s="1200"/>
      <c r="K1841" s="1200"/>
      <c r="L1841" s="1201"/>
      <c r="M1841" s="96"/>
      <c r="N1841" s="50"/>
      <c r="O1841" s="5"/>
      <c r="P1841" s="9"/>
      <c r="Q1841" s="34"/>
      <c r="R1841" s="5"/>
      <c r="S1841" s="35"/>
    </row>
    <row r="1842" spans="1:19" ht="30" customHeight="1" x14ac:dyDescent="0.35">
      <c r="A1842" s="571" t="s">
        <v>1</v>
      </c>
      <c r="B1842" s="571">
        <v>2173</v>
      </c>
      <c r="C1842" s="1290" t="s">
        <v>948</v>
      </c>
      <c r="D1842" s="1291"/>
      <c r="E1842" s="401" t="s">
        <v>3</v>
      </c>
      <c r="F1842" s="655" t="s">
        <v>40</v>
      </c>
      <c r="G1842" s="529" t="s">
        <v>2</v>
      </c>
      <c r="H1842" s="393">
        <v>1</v>
      </c>
      <c r="I1842" s="392" t="s">
        <v>5</v>
      </c>
      <c r="J1842" s="1207" t="s">
        <v>2874</v>
      </c>
      <c r="K1842" s="1207"/>
      <c r="L1842" s="1208"/>
      <c r="M1842" s="50"/>
      <c r="N1842" s="50"/>
      <c r="O1842" s="5"/>
      <c r="P1842" s="9"/>
      <c r="Q1842" s="34"/>
      <c r="R1842" s="5"/>
      <c r="S1842" s="35"/>
    </row>
    <row r="1843" spans="1:19" ht="30" customHeight="1" x14ac:dyDescent="0.35">
      <c r="A1843" s="494" t="s">
        <v>187</v>
      </c>
      <c r="B1843" s="1473" t="s">
        <v>211</v>
      </c>
      <c r="C1843" s="1473"/>
      <c r="D1843" s="1473"/>
      <c r="E1843" s="494" t="s">
        <v>52</v>
      </c>
      <c r="F1843" s="494" t="s">
        <v>53</v>
      </c>
      <c r="G1843" s="1527" t="s">
        <v>54</v>
      </c>
      <c r="H1843" s="1527"/>
      <c r="I1843" s="185" t="s">
        <v>188</v>
      </c>
      <c r="J1843" s="185"/>
      <c r="K1843" s="1209" t="s">
        <v>180</v>
      </c>
      <c r="L1843" s="1210"/>
      <c r="M1843" s="50"/>
      <c r="N1843" s="50"/>
      <c r="O1843" s="5"/>
      <c r="P1843" s="9"/>
      <c r="Q1843" s="34"/>
      <c r="R1843" s="5"/>
      <c r="S1843" s="35"/>
    </row>
    <row r="1844" spans="1:19" ht="30" customHeight="1" x14ac:dyDescent="0.35">
      <c r="A1844" s="186" t="s">
        <v>189</v>
      </c>
      <c r="B1844" s="1264" t="s">
        <v>949</v>
      </c>
      <c r="C1844" s="1264"/>
      <c r="D1844" s="1264"/>
      <c r="E1844" s="194">
        <v>1250</v>
      </c>
      <c r="F1844" s="186" t="s">
        <v>222</v>
      </c>
      <c r="G1844" s="186">
        <v>100</v>
      </c>
      <c r="H1844" s="186" t="s">
        <v>950</v>
      </c>
      <c r="I1844" s="204">
        <v>1.0900000000000001</v>
      </c>
      <c r="J1844" s="204"/>
      <c r="K1844" s="194">
        <f>+E1844*G1844*I1844</f>
        <v>136250</v>
      </c>
      <c r="L1844" s="186" t="s">
        <v>40</v>
      </c>
      <c r="M1844" s="50"/>
      <c r="N1844" s="50"/>
      <c r="O1844" s="5"/>
      <c r="P1844" s="9"/>
      <c r="Q1844" s="34"/>
      <c r="R1844" s="5"/>
      <c r="S1844" s="35"/>
    </row>
    <row r="1845" spans="1:19" ht="30" customHeight="1" x14ac:dyDescent="0.35">
      <c r="A1845" s="186"/>
      <c r="E1845" s="194"/>
      <c r="F1845" s="1215" t="s">
        <v>195</v>
      </c>
      <c r="G1845" s="1273" t="s">
        <v>196</v>
      </c>
      <c r="H1845" s="1273"/>
      <c r="I1845" s="1273"/>
      <c r="J1845" s="1273"/>
      <c r="K1845" s="196">
        <v>1.05</v>
      </c>
      <c r="L1845" s="186"/>
      <c r="M1845" s="50"/>
      <c r="N1845" s="50"/>
      <c r="O1845" s="5"/>
      <c r="P1845" s="9"/>
      <c r="Q1845" s="34"/>
      <c r="R1845" s="5"/>
      <c r="S1845" s="35"/>
    </row>
    <row r="1846" spans="1:19" ht="30" customHeight="1" x14ac:dyDescent="0.35">
      <c r="A1846" s="186"/>
      <c r="B1846" s="567"/>
      <c r="C1846" s="567"/>
      <c r="D1846" s="567"/>
      <c r="E1846" s="194"/>
      <c r="F1846" s="1216"/>
      <c r="G1846" s="1268" t="s">
        <v>2875</v>
      </c>
      <c r="H1846" s="1268"/>
      <c r="I1846" s="1268"/>
      <c r="J1846" s="1268"/>
      <c r="K1846" s="196">
        <v>1.07</v>
      </c>
      <c r="L1846" s="755"/>
      <c r="M1846" s="50"/>
      <c r="N1846" s="50"/>
      <c r="O1846" s="5"/>
      <c r="P1846" s="9"/>
      <c r="Q1846" s="34"/>
      <c r="R1846" s="5"/>
      <c r="S1846" s="35"/>
    </row>
    <row r="1847" spans="1:19" ht="30" customHeight="1" x14ac:dyDescent="0.35">
      <c r="A1847" s="186"/>
      <c r="B1847" s="186"/>
      <c r="C1847" s="503"/>
      <c r="D1847" s="503"/>
      <c r="E1847" s="503"/>
      <c r="F1847" s="503"/>
      <c r="G1847" s="503"/>
      <c r="H1847" s="503"/>
      <c r="I1847" s="503"/>
      <c r="J1847" s="186" t="s">
        <v>37</v>
      </c>
      <c r="K1847" s="140">
        <f>+K1844*K1845/K1846</f>
        <v>133703.27102803739</v>
      </c>
      <c r="L1847" s="897" t="s">
        <v>40</v>
      </c>
      <c r="M1847" s="50"/>
      <c r="N1847" s="50"/>
      <c r="O1847" s="5"/>
      <c r="P1847" s="724"/>
      <c r="Q1847" s="34"/>
      <c r="R1847" s="5"/>
      <c r="S1847" s="35"/>
    </row>
    <row r="1848" spans="1:19" ht="30" customHeight="1" thickBot="1" x14ac:dyDescent="0.4">
      <c r="A1848" s="186"/>
      <c r="B1848" s="1264" t="s">
        <v>951</v>
      </c>
      <c r="C1848" s="1264"/>
      <c r="D1848" s="1264"/>
      <c r="E1848" s="503"/>
      <c r="F1848" s="503"/>
      <c r="G1848" s="1374" t="s">
        <v>257</v>
      </c>
      <c r="H1848" s="1375"/>
      <c r="I1848" s="1376"/>
      <c r="J1848" s="560">
        <f>VLOOKUP(B1842,'Mil Cost Premiums for PUCs'!$A$4:$R$285,18,FALSE)</f>
        <v>1.0485669999999998</v>
      </c>
      <c r="K1848" s="193">
        <f>+K1847*J1848</f>
        <v>140196.83779205606</v>
      </c>
      <c r="L1848" s="422" t="s">
        <v>40</v>
      </c>
      <c r="M1848" s="10"/>
      <c r="N1848" s="50"/>
      <c r="O1848" s="5"/>
      <c r="P1848" s="9"/>
      <c r="Q1848" s="34"/>
      <c r="R1848" s="5"/>
      <c r="S1848" s="35"/>
    </row>
    <row r="1849" spans="1:19" ht="30" customHeight="1" thickBot="1" x14ac:dyDescent="0.4">
      <c r="A1849" s="1199"/>
      <c r="B1849" s="1200"/>
      <c r="C1849" s="1200"/>
      <c r="D1849" s="1200"/>
      <c r="E1849" s="1200"/>
      <c r="F1849" s="1200"/>
      <c r="G1849" s="1200"/>
      <c r="H1849" s="1200"/>
      <c r="I1849" s="1200"/>
      <c r="J1849" s="1200"/>
      <c r="K1849" s="1200"/>
      <c r="L1849" s="1201"/>
      <c r="N1849" s="50"/>
      <c r="O1849" s="5"/>
      <c r="P1849" s="9"/>
      <c r="Q1849" s="34"/>
      <c r="R1849" s="5"/>
      <c r="S1849" s="35"/>
    </row>
    <row r="1850" spans="1:19" ht="30" customHeight="1" x14ac:dyDescent="0.35">
      <c r="A1850" s="388" t="s">
        <v>1</v>
      </c>
      <c r="B1850" s="389">
        <v>2181</v>
      </c>
      <c r="C1850" s="1290" t="s">
        <v>952</v>
      </c>
      <c r="D1850" s="1291"/>
      <c r="E1850" s="392" t="s">
        <v>3</v>
      </c>
      <c r="F1850" s="393" t="s">
        <v>108</v>
      </c>
      <c r="G1850" s="390" t="s">
        <v>38</v>
      </c>
      <c r="H1850" s="134">
        <v>19547.708473360599</v>
      </c>
      <c r="I1850" s="392" t="s">
        <v>5</v>
      </c>
      <c r="J1850" s="1207" t="s">
        <v>2470</v>
      </c>
      <c r="K1850" s="1207"/>
      <c r="L1850" s="1208"/>
      <c r="M1850" s="50"/>
      <c r="N1850" s="50"/>
      <c r="O1850" s="5"/>
      <c r="P1850" s="9"/>
      <c r="Q1850" s="34"/>
      <c r="R1850" s="5"/>
      <c r="S1850" s="35"/>
    </row>
    <row r="1851" spans="1:19" ht="30" customHeight="1" x14ac:dyDescent="0.35">
      <c r="A1851" s="185" t="s">
        <v>177</v>
      </c>
      <c r="B1851" s="1272" t="s">
        <v>7</v>
      </c>
      <c r="C1851" s="1272"/>
      <c r="D1851" s="1272"/>
      <c r="E1851" s="492" t="s">
        <v>178</v>
      </c>
      <c r="F1851" s="397" t="s">
        <v>52</v>
      </c>
      <c r="G1851" s="185"/>
      <c r="H1851" s="185"/>
      <c r="I1851" s="1223" t="s">
        <v>56</v>
      </c>
      <c r="J1851" s="1224"/>
      <c r="K1851" s="1209" t="s">
        <v>180</v>
      </c>
      <c r="L1851" s="1210"/>
      <c r="M1851" s="50"/>
      <c r="O1851" s="5"/>
      <c r="P1851" s="9"/>
      <c r="Q1851" s="34"/>
      <c r="R1851" s="5"/>
      <c r="S1851" s="35"/>
    </row>
    <row r="1852" spans="1:19" ht="30" customHeight="1" x14ac:dyDescent="0.35">
      <c r="A1852" s="401" t="s">
        <v>181</v>
      </c>
      <c r="B1852" s="1389" t="s">
        <v>903</v>
      </c>
      <c r="C1852" s="1390"/>
      <c r="D1852" s="1391"/>
      <c r="E1852" s="531">
        <v>29000</v>
      </c>
      <c r="F1852" s="187">
        <v>458</v>
      </c>
      <c r="G1852" s="532"/>
      <c r="H1852" s="533"/>
      <c r="I1852" s="1217">
        <v>1.0438745311870332</v>
      </c>
      <c r="J1852" s="1218"/>
      <c r="K1852" s="187">
        <f>+F1852*+I1852</f>
        <v>478.09453528366123</v>
      </c>
      <c r="L1852" s="401" t="s">
        <v>108</v>
      </c>
      <c r="M1852" s="50"/>
      <c r="N1852" s="50"/>
      <c r="O1852" s="5"/>
      <c r="P1852" s="9"/>
      <c r="Q1852" s="34"/>
      <c r="R1852" s="5"/>
      <c r="S1852" s="35"/>
    </row>
    <row r="1853" spans="1:19" ht="30" customHeight="1" thickBot="1" x14ac:dyDescent="0.4">
      <c r="A1853" s="186"/>
      <c r="B1853" s="1350"/>
      <c r="C1853" s="1351"/>
      <c r="D1853" s="1352"/>
      <c r="E1853" s="535"/>
      <c r="F1853" s="536"/>
      <c r="G1853" s="536"/>
      <c r="H1853" s="537"/>
      <c r="I1853" s="503"/>
      <c r="J1853" s="494" t="s">
        <v>37</v>
      </c>
      <c r="K1853" s="193">
        <f>+K1852</f>
        <v>478.09453528366123</v>
      </c>
      <c r="L1853" s="186" t="s">
        <v>108</v>
      </c>
      <c r="M1853" s="50"/>
      <c r="N1853" s="50"/>
      <c r="O1853" s="5"/>
      <c r="P1853" s="9"/>
      <c r="Q1853" s="34"/>
      <c r="R1853" s="5"/>
      <c r="S1853" s="35"/>
    </row>
    <row r="1854" spans="1:19" ht="30" customHeight="1" thickBot="1" x14ac:dyDescent="0.4">
      <c r="A1854" s="1199"/>
      <c r="B1854" s="1200"/>
      <c r="C1854" s="1200"/>
      <c r="D1854" s="1200"/>
      <c r="E1854" s="1200"/>
      <c r="F1854" s="1200"/>
      <c r="G1854" s="1200"/>
      <c r="H1854" s="1200"/>
      <c r="I1854" s="1200"/>
      <c r="J1854" s="1200"/>
      <c r="K1854" s="1200"/>
      <c r="L1854" s="1201"/>
      <c r="M1854" s="50"/>
      <c r="N1854" s="50"/>
      <c r="O1854" s="5"/>
      <c r="P1854" s="9"/>
      <c r="Q1854" s="34"/>
      <c r="R1854" s="5"/>
      <c r="S1854" s="35"/>
    </row>
    <row r="1855" spans="1:19" ht="30" customHeight="1" x14ac:dyDescent="0.35">
      <c r="A1855" s="388" t="s">
        <v>1</v>
      </c>
      <c r="B1855" s="389">
        <v>2182</v>
      </c>
      <c r="C1855" s="1290" t="s">
        <v>953</v>
      </c>
      <c r="D1855" s="1291"/>
      <c r="E1855" s="392" t="s">
        <v>3</v>
      </c>
      <c r="F1855" s="393" t="s">
        <v>108</v>
      </c>
      <c r="G1855" s="390" t="s">
        <v>38</v>
      </c>
      <c r="H1855" s="134">
        <v>6667.8079864253305</v>
      </c>
      <c r="I1855" s="392" t="s">
        <v>5</v>
      </c>
      <c r="J1855" s="1207" t="s">
        <v>2470</v>
      </c>
      <c r="K1855" s="1207"/>
      <c r="L1855" s="1208"/>
      <c r="M1855" s="50"/>
      <c r="N1855" s="50"/>
      <c r="P1855" s="34"/>
      <c r="Q1855" s="5"/>
      <c r="R1855" s="35"/>
    </row>
    <row r="1856" spans="1:19" ht="30" customHeight="1" x14ac:dyDescent="0.35">
      <c r="A1856" s="185" t="s">
        <v>177</v>
      </c>
      <c r="B1856" s="1272" t="s">
        <v>7</v>
      </c>
      <c r="C1856" s="1272"/>
      <c r="D1856" s="1272"/>
      <c r="E1856" s="492" t="s">
        <v>178</v>
      </c>
      <c r="F1856" s="397" t="s">
        <v>52</v>
      </c>
      <c r="G1856" s="185"/>
      <c r="H1856" s="185"/>
      <c r="I1856" s="1223" t="s">
        <v>56</v>
      </c>
      <c r="J1856" s="1224"/>
      <c r="K1856" s="1209" t="s">
        <v>180</v>
      </c>
      <c r="L1856" s="1210"/>
      <c r="M1856" s="50"/>
      <c r="N1856" s="50"/>
      <c r="O1856" s="5"/>
      <c r="P1856" s="9"/>
      <c r="Q1856" s="34"/>
      <c r="R1856" s="5"/>
      <c r="S1856" s="35"/>
    </row>
    <row r="1857" spans="1:19" ht="30" customHeight="1" x14ac:dyDescent="0.35">
      <c r="A1857" s="401" t="s">
        <v>181</v>
      </c>
      <c r="B1857" s="1265" t="s">
        <v>903</v>
      </c>
      <c r="C1857" s="1265"/>
      <c r="D1857" s="1265"/>
      <c r="E1857" s="531">
        <v>29000</v>
      </c>
      <c r="F1857" s="187">
        <v>458</v>
      </c>
      <c r="G1857" s="532"/>
      <c r="H1857" s="533"/>
      <c r="I1857" s="1217">
        <v>1.0438745311870332</v>
      </c>
      <c r="J1857" s="1218"/>
      <c r="K1857" s="187">
        <f>+F1857*+I1857</f>
        <v>478.09453528366123</v>
      </c>
      <c r="L1857" s="401" t="s">
        <v>108</v>
      </c>
      <c r="M1857" s="50"/>
      <c r="N1857" s="50"/>
      <c r="O1857" s="5"/>
      <c r="P1857" s="724"/>
      <c r="Q1857" s="34"/>
      <c r="R1857" s="5"/>
      <c r="S1857" s="35"/>
    </row>
    <row r="1858" spans="1:19" ht="30" customHeight="1" thickBot="1" x14ac:dyDescent="0.4">
      <c r="A1858" s="186"/>
      <c r="B1858" s="1264"/>
      <c r="C1858" s="1264"/>
      <c r="D1858" s="1264"/>
      <c r="E1858" s="535"/>
      <c r="F1858" s="536"/>
      <c r="G1858" s="536"/>
      <c r="H1858" s="537"/>
      <c r="I1858" s="503"/>
      <c r="J1858" s="494" t="s">
        <v>37</v>
      </c>
      <c r="K1858" s="193">
        <f>+K1857</f>
        <v>478.09453528366123</v>
      </c>
      <c r="L1858" s="186" t="s">
        <v>108</v>
      </c>
      <c r="M1858" s="96"/>
      <c r="N1858" s="50"/>
      <c r="O1858" s="5"/>
      <c r="P1858" s="9"/>
      <c r="Q1858" s="34"/>
      <c r="R1858" s="5"/>
      <c r="S1858" s="35"/>
    </row>
    <row r="1859" spans="1:19" ht="52.5" customHeight="1" thickBot="1" x14ac:dyDescent="0.4">
      <c r="A1859" s="1199"/>
      <c r="B1859" s="1200"/>
      <c r="C1859" s="1200"/>
      <c r="D1859" s="1200"/>
      <c r="E1859" s="1200"/>
      <c r="F1859" s="1200"/>
      <c r="G1859" s="1200"/>
      <c r="H1859" s="1200"/>
      <c r="I1859" s="1200"/>
      <c r="J1859" s="1200"/>
      <c r="K1859" s="1200"/>
      <c r="L1859" s="1201"/>
      <c r="M1859" s="50"/>
      <c r="N1859" s="50"/>
      <c r="O1859" s="5"/>
      <c r="P1859" s="9"/>
      <c r="Q1859" s="34"/>
      <c r="R1859" s="5"/>
      <c r="S1859" s="35"/>
    </row>
    <row r="1860" spans="1:19" ht="30" customHeight="1" x14ac:dyDescent="0.35">
      <c r="A1860" s="388" t="s">
        <v>1</v>
      </c>
      <c r="B1860" s="389">
        <v>2183</v>
      </c>
      <c r="C1860" s="1290" t="s">
        <v>954</v>
      </c>
      <c r="D1860" s="1291"/>
      <c r="E1860" s="392" t="s">
        <v>3</v>
      </c>
      <c r="F1860" s="393" t="s">
        <v>108</v>
      </c>
      <c r="G1860" s="390" t="s">
        <v>38</v>
      </c>
      <c r="H1860" s="134">
        <v>5760.6054216867396</v>
      </c>
      <c r="I1860" s="392" t="s">
        <v>5</v>
      </c>
      <c r="J1860" s="1207" t="s">
        <v>2470</v>
      </c>
      <c r="K1860" s="1207"/>
      <c r="L1860" s="1208"/>
      <c r="M1860" s="50"/>
      <c r="N1860" s="50"/>
      <c r="O1860" s="5"/>
      <c r="P1860" s="9"/>
      <c r="Q1860" s="34"/>
      <c r="R1860" s="5"/>
      <c r="S1860" s="35"/>
    </row>
    <row r="1861" spans="1:19" ht="30" customHeight="1" x14ac:dyDescent="0.35">
      <c r="A1861" s="185" t="s">
        <v>177</v>
      </c>
      <c r="B1861" s="1272" t="s">
        <v>7</v>
      </c>
      <c r="C1861" s="1272"/>
      <c r="D1861" s="1272"/>
      <c r="E1861" s="492" t="s">
        <v>178</v>
      </c>
      <c r="F1861" s="397" t="s">
        <v>52</v>
      </c>
      <c r="G1861" s="185"/>
      <c r="H1861" s="185"/>
      <c r="I1861" s="1223" t="s">
        <v>56</v>
      </c>
      <c r="J1861" s="1224"/>
      <c r="K1861" s="1209" t="s">
        <v>180</v>
      </c>
      <c r="L1861" s="1210"/>
      <c r="M1861" s="50"/>
      <c r="N1861" s="50"/>
      <c r="O1861" s="539"/>
      <c r="P1861" s="9"/>
      <c r="Q1861" s="34"/>
      <c r="R1861" s="5"/>
      <c r="S1861" s="35"/>
    </row>
    <row r="1862" spans="1:19" ht="30" customHeight="1" x14ac:dyDescent="0.35">
      <c r="A1862" s="401" t="s">
        <v>181</v>
      </c>
      <c r="B1862" s="1265" t="s">
        <v>903</v>
      </c>
      <c r="C1862" s="1265"/>
      <c r="D1862" s="1265"/>
      <c r="E1862" s="531">
        <v>29000</v>
      </c>
      <c r="F1862" s="187">
        <v>458</v>
      </c>
      <c r="G1862" s="532"/>
      <c r="H1862" s="533"/>
      <c r="I1862" s="1217">
        <v>1.0438745311870332</v>
      </c>
      <c r="J1862" s="1218"/>
      <c r="K1862" s="187">
        <f>+F1862*+I1862</f>
        <v>478.09453528366123</v>
      </c>
      <c r="L1862" s="401" t="s">
        <v>108</v>
      </c>
      <c r="M1862" s="50"/>
      <c r="N1862" s="50"/>
      <c r="O1862" s="5"/>
      <c r="P1862" s="9"/>
      <c r="Q1862" s="34"/>
      <c r="R1862" s="5"/>
      <c r="S1862" s="35"/>
    </row>
    <row r="1863" spans="1:19" ht="30" customHeight="1" thickBot="1" x14ac:dyDescent="0.4">
      <c r="A1863" s="186"/>
      <c r="B1863" s="1264"/>
      <c r="C1863" s="1264"/>
      <c r="D1863" s="1264"/>
      <c r="E1863" s="535"/>
      <c r="F1863" s="536"/>
      <c r="G1863" s="536"/>
      <c r="H1863" s="537"/>
      <c r="I1863" s="503"/>
      <c r="J1863" s="494" t="s">
        <v>37</v>
      </c>
      <c r="K1863" s="193">
        <f>+K1862</f>
        <v>478.09453528366123</v>
      </c>
      <c r="L1863" s="186" t="s">
        <v>108</v>
      </c>
      <c r="M1863" s="50"/>
      <c r="N1863" s="50"/>
      <c r="O1863" s="539"/>
      <c r="P1863" s="9"/>
      <c r="Q1863" s="34"/>
      <c r="R1863" s="5"/>
      <c r="S1863" s="35"/>
    </row>
    <row r="1864" spans="1:19" ht="30" customHeight="1" thickBot="1" x14ac:dyDescent="0.4">
      <c r="A1864" s="1199"/>
      <c r="B1864" s="1200"/>
      <c r="C1864" s="1200"/>
      <c r="D1864" s="1200"/>
      <c r="E1864" s="1200"/>
      <c r="F1864" s="1200"/>
      <c r="G1864" s="1200"/>
      <c r="H1864" s="1200"/>
      <c r="I1864" s="1200"/>
      <c r="J1864" s="1200"/>
      <c r="K1864" s="1200"/>
      <c r="L1864" s="1201"/>
      <c r="M1864" s="50"/>
      <c r="N1864" s="50"/>
      <c r="O1864" s="539"/>
      <c r="P1864" s="9"/>
      <c r="Q1864" s="34"/>
      <c r="R1864" s="5"/>
      <c r="S1864" s="35"/>
    </row>
    <row r="1865" spans="1:19" ht="30" customHeight="1" x14ac:dyDescent="0.35">
      <c r="A1865" s="388" t="s">
        <v>1</v>
      </c>
      <c r="B1865" s="389">
        <v>2184</v>
      </c>
      <c r="C1865" s="1205" t="s">
        <v>955</v>
      </c>
      <c r="D1865" s="1206"/>
      <c r="E1865" s="392" t="s">
        <v>3</v>
      </c>
      <c r="F1865" s="393" t="s">
        <v>108</v>
      </c>
      <c r="G1865" s="390" t="s">
        <v>38</v>
      </c>
      <c r="H1865" s="134">
        <v>10600</v>
      </c>
      <c r="I1865" s="392" t="s">
        <v>5</v>
      </c>
      <c r="J1865" s="1207" t="s">
        <v>956</v>
      </c>
      <c r="K1865" s="1207"/>
      <c r="L1865" s="1208"/>
      <c r="M1865" s="96"/>
      <c r="N1865" s="50"/>
      <c r="O1865" s="36"/>
      <c r="P1865" s="9"/>
      <c r="Q1865" s="34"/>
      <c r="R1865" s="5"/>
      <c r="S1865" s="35"/>
    </row>
    <row r="1866" spans="1:19" ht="30" customHeight="1" x14ac:dyDescent="0.35">
      <c r="A1866" s="185"/>
      <c r="B1866" s="1272" t="s">
        <v>7</v>
      </c>
      <c r="C1866" s="1272"/>
      <c r="D1866" s="1272"/>
      <c r="E1866" s="185" t="s">
        <v>178</v>
      </c>
      <c r="F1866" s="397" t="s">
        <v>52</v>
      </c>
      <c r="G1866" s="1221"/>
      <c r="H1866" s="1222"/>
      <c r="I1866" s="1221" t="s">
        <v>179</v>
      </c>
      <c r="J1866" s="1222"/>
      <c r="K1866" s="1209" t="s">
        <v>180</v>
      </c>
      <c r="L1866" s="1210"/>
      <c r="M1866" s="96"/>
      <c r="N1866" s="50"/>
      <c r="O1866" s="36"/>
      <c r="P1866" s="9"/>
      <c r="Q1866" s="34"/>
      <c r="R1866" s="5"/>
      <c r="S1866" s="35"/>
    </row>
    <row r="1867" spans="1:19" ht="30" customHeight="1" x14ac:dyDescent="0.35">
      <c r="A1867" s="407" t="s">
        <v>181</v>
      </c>
      <c r="B1867" s="1265" t="s">
        <v>957</v>
      </c>
      <c r="C1867" s="1265"/>
      <c r="D1867" s="1265"/>
      <c r="E1867" s="498">
        <v>6600</v>
      </c>
      <c r="F1867" s="187">
        <v>198</v>
      </c>
      <c r="G1867" s="1509"/>
      <c r="H1867" s="1510"/>
      <c r="I1867" s="1217">
        <f>'FY2024 MILCON Inflation Table'!F9</f>
        <v>1.7145891288836663</v>
      </c>
      <c r="J1867" s="1218"/>
      <c r="K1867" s="898">
        <f>+F1867*I1867</f>
        <v>339.48864751896593</v>
      </c>
      <c r="L1867" s="407" t="s">
        <v>108</v>
      </c>
      <c r="M1867" s="50"/>
      <c r="N1867" s="50"/>
      <c r="O1867" s="5"/>
      <c r="P1867" s="9"/>
      <c r="Q1867" s="34"/>
      <c r="R1867" s="5"/>
      <c r="S1867" s="35"/>
    </row>
    <row r="1868" spans="1:19" ht="30" customHeight="1" thickBot="1" x14ac:dyDescent="0.4">
      <c r="A1868" s="186"/>
      <c r="B1868" s="1264"/>
      <c r="C1868" s="1264"/>
      <c r="D1868" s="1264"/>
      <c r="E1868" s="535"/>
      <c r="F1868" s="536"/>
      <c r="G1868" s="536"/>
      <c r="H1868" s="537"/>
      <c r="I1868" s="503"/>
      <c r="J1868" s="494" t="s">
        <v>37</v>
      </c>
      <c r="K1868" s="219">
        <f>+K1867</f>
        <v>339.48864751896593</v>
      </c>
      <c r="L1868" s="186" t="s">
        <v>108</v>
      </c>
      <c r="M1868" s="50"/>
      <c r="N1868" s="50"/>
      <c r="O1868" s="5"/>
      <c r="P1868" s="9"/>
      <c r="Q1868" s="34"/>
      <c r="R1868" s="5"/>
      <c r="S1868" s="35"/>
    </row>
    <row r="1869" spans="1:19" ht="30" customHeight="1" thickBot="1" x14ac:dyDescent="0.4">
      <c r="A1869" s="1199"/>
      <c r="B1869" s="1200"/>
      <c r="C1869" s="1200"/>
      <c r="D1869" s="1200"/>
      <c r="E1869" s="1200"/>
      <c r="F1869" s="1200"/>
      <c r="G1869" s="1200"/>
      <c r="H1869" s="1200"/>
      <c r="I1869" s="1200"/>
      <c r="J1869" s="1200"/>
      <c r="K1869" s="1200"/>
      <c r="L1869" s="1201"/>
      <c r="M1869" s="50"/>
      <c r="O1869" s="5"/>
      <c r="P1869" s="9"/>
      <c r="Q1869" s="34"/>
      <c r="R1869" s="5"/>
      <c r="S1869" s="35"/>
    </row>
    <row r="1870" spans="1:19" ht="30" customHeight="1" x14ac:dyDescent="0.35">
      <c r="A1870" s="388" t="s">
        <v>1</v>
      </c>
      <c r="B1870" s="389">
        <v>2185</v>
      </c>
      <c r="C1870" s="1290" t="s">
        <v>958</v>
      </c>
      <c r="D1870" s="1291"/>
      <c r="E1870" s="392" t="s">
        <v>3</v>
      </c>
      <c r="F1870" s="393" t="s">
        <v>108</v>
      </c>
      <c r="G1870" s="390" t="s">
        <v>38</v>
      </c>
      <c r="H1870" s="135">
        <v>9855.45131979695</v>
      </c>
      <c r="I1870" s="392" t="s">
        <v>5</v>
      </c>
      <c r="J1870" s="1207" t="s">
        <v>2538</v>
      </c>
      <c r="K1870" s="1207"/>
      <c r="L1870" s="1208"/>
      <c r="M1870" s="50"/>
      <c r="N1870" s="50"/>
      <c r="O1870" s="5"/>
      <c r="P1870" s="9"/>
      <c r="Q1870" s="34"/>
      <c r="R1870" s="5"/>
      <c r="S1870" s="35"/>
    </row>
    <row r="1871" spans="1:19" ht="30" customHeight="1" x14ac:dyDescent="0.35">
      <c r="A1871" s="185" t="s">
        <v>177</v>
      </c>
      <c r="B1871" s="1272" t="s">
        <v>7</v>
      </c>
      <c r="C1871" s="1272"/>
      <c r="D1871" s="1272"/>
      <c r="E1871" s="397" t="s">
        <v>52</v>
      </c>
      <c r="F1871" s="185" t="s">
        <v>178</v>
      </c>
      <c r="G1871" s="1292" t="s">
        <v>9</v>
      </c>
      <c r="H1871" s="1293"/>
      <c r="I1871" s="1221" t="s">
        <v>179</v>
      </c>
      <c r="J1871" s="1222"/>
      <c r="K1871" s="1209" t="s">
        <v>180</v>
      </c>
      <c r="L1871" s="1210"/>
      <c r="M1871" s="50"/>
      <c r="N1871" s="50"/>
      <c r="O1871" s="5"/>
      <c r="P1871" s="9"/>
      <c r="Q1871" s="34"/>
      <c r="R1871" s="5"/>
      <c r="S1871" s="35"/>
    </row>
    <row r="1872" spans="1:19" ht="30" customHeight="1" x14ac:dyDescent="0.35">
      <c r="A1872" s="186">
        <v>44224</v>
      </c>
      <c r="B1872" s="1202" t="s">
        <v>959</v>
      </c>
      <c r="C1872" s="1203"/>
      <c r="D1872" s="1204"/>
      <c r="E1872" s="194">
        <v>303</v>
      </c>
      <c r="F1872" s="203">
        <v>2515</v>
      </c>
      <c r="G1872" s="401" t="s">
        <v>108</v>
      </c>
      <c r="H1872" s="401"/>
      <c r="I1872" s="1217">
        <f>+'FY2024 MILCON Inflation Table'!F22</f>
        <v>0.95834826759383673</v>
      </c>
      <c r="J1872" s="1218"/>
      <c r="K1872" s="187">
        <f>+E1872*I1872</f>
        <v>290.37952508093252</v>
      </c>
      <c r="L1872" s="401" t="s">
        <v>108</v>
      </c>
      <c r="M1872" s="50"/>
      <c r="N1872" s="50"/>
      <c r="O1872" s="5"/>
      <c r="P1872" s="9"/>
      <c r="Q1872" s="34"/>
      <c r="R1872" s="5"/>
      <c r="S1872" s="35"/>
    </row>
    <row r="1873" spans="1:25" ht="30" customHeight="1" thickBot="1" x14ac:dyDescent="0.4">
      <c r="A1873" s="186"/>
      <c r="B1873" s="1202"/>
      <c r="C1873" s="1203"/>
      <c r="D1873" s="1204"/>
      <c r="E1873" s="520"/>
      <c r="F1873" s="784"/>
      <c r="G1873" s="520"/>
      <c r="H1873" s="750"/>
      <c r="I1873" s="503"/>
      <c r="J1873" s="494" t="s">
        <v>37</v>
      </c>
      <c r="K1873" s="193">
        <f>AVERAGE(K1872:K1872)</f>
        <v>290.37952508093252</v>
      </c>
      <c r="L1873" s="401" t="s">
        <v>108</v>
      </c>
      <c r="M1873" s="50"/>
      <c r="N1873" s="50"/>
      <c r="O1873" s="5"/>
      <c r="P1873" s="9"/>
      <c r="Q1873" s="34"/>
      <c r="R1873" s="5"/>
      <c r="S1873" s="35"/>
    </row>
    <row r="1874" spans="1:25" ht="30" customHeight="1" thickBot="1" x14ac:dyDescent="0.4">
      <c r="A1874" s="1199"/>
      <c r="B1874" s="1200"/>
      <c r="C1874" s="1200"/>
      <c r="D1874" s="1200"/>
      <c r="E1874" s="1200"/>
      <c r="F1874" s="1200"/>
      <c r="G1874" s="1200"/>
      <c r="H1874" s="1200"/>
      <c r="I1874" s="1200"/>
      <c r="J1874" s="1200"/>
      <c r="K1874" s="1200"/>
      <c r="L1874" s="1201"/>
      <c r="M1874" s="50"/>
      <c r="N1874" s="50"/>
      <c r="O1874" s="5"/>
      <c r="P1874" s="9"/>
      <c r="Q1874" s="34"/>
      <c r="R1874" s="5"/>
      <c r="S1874" s="35"/>
    </row>
    <row r="1875" spans="1:25" ht="30" customHeight="1" x14ac:dyDescent="0.35">
      <c r="A1875" s="530" t="s">
        <v>1</v>
      </c>
      <c r="B1875" s="126">
        <v>2191</v>
      </c>
      <c r="C1875" s="1345" t="s">
        <v>960</v>
      </c>
      <c r="D1875" s="1346"/>
      <c r="E1875" s="390" t="s">
        <v>3</v>
      </c>
      <c r="F1875" s="750" t="s">
        <v>108</v>
      </c>
      <c r="G1875" s="390" t="s">
        <v>38</v>
      </c>
      <c r="H1875" s="899">
        <v>5648.9112999999998</v>
      </c>
      <c r="I1875" s="390" t="s">
        <v>5</v>
      </c>
      <c r="J1875" s="1207" t="s">
        <v>2470</v>
      </c>
      <c r="K1875" s="1207"/>
      <c r="L1875" s="1208"/>
      <c r="M1875" s="50"/>
      <c r="N1875" s="50"/>
      <c r="O1875" s="5"/>
      <c r="P1875" s="9"/>
      <c r="Q1875" s="34"/>
      <c r="R1875" s="5"/>
      <c r="S1875" s="35"/>
    </row>
    <row r="1876" spans="1:25" ht="30" customHeight="1" x14ac:dyDescent="0.35">
      <c r="A1876" s="185" t="s">
        <v>177</v>
      </c>
      <c r="B1876" s="1272" t="s">
        <v>7</v>
      </c>
      <c r="C1876" s="1272"/>
      <c r="D1876" s="1272"/>
      <c r="E1876" s="492" t="s">
        <v>178</v>
      </c>
      <c r="F1876" s="397" t="s">
        <v>52</v>
      </c>
      <c r="G1876" s="185"/>
      <c r="H1876" s="185"/>
      <c r="I1876" s="1223" t="s">
        <v>56</v>
      </c>
      <c r="J1876" s="1224"/>
      <c r="K1876" s="1209" t="s">
        <v>180</v>
      </c>
      <c r="L1876" s="1210"/>
      <c r="M1876" s="50"/>
      <c r="N1876" s="50"/>
      <c r="O1876" s="5"/>
      <c r="P1876" s="9"/>
      <c r="Q1876" s="34"/>
      <c r="R1876" s="5"/>
      <c r="S1876" s="35"/>
    </row>
    <row r="1877" spans="1:25" ht="30" customHeight="1" x14ac:dyDescent="0.35">
      <c r="A1877" s="401" t="s">
        <v>181</v>
      </c>
      <c r="B1877" s="1265" t="s">
        <v>903</v>
      </c>
      <c r="C1877" s="1265"/>
      <c r="D1877" s="1265"/>
      <c r="E1877" s="531">
        <v>29000</v>
      </c>
      <c r="F1877" s="187">
        <v>458</v>
      </c>
      <c r="G1877" s="532"/>
      <c r="H1877" s="533"/>
      <c r="I1877" s="1217">
        <v>1.0438745311870332</v>
      </c>
      <c r="J1877" s="1218"/>
      <c r="K1877" s="187">
        <f>+F1877*+I1877</f>
        <v>478.09453528366123</v>
      </c>
      <c r="L1877" s="401" t="s">
        <v>108</v>
      </c>
      <c r="M1877" s="50"/>
      <c r="N1877" s="50"/>
      <c r="O1877" s="5"/>
      <c r="P1877" s="9"/>
      <c r="Q1877" s="34"/>
      <c r="R1877" s="5"/>
      <c r="S1877" s="35"/>
    </row>
    <row r="1878" spans="1:25" ht="30" customHeight="1" thickBot="1" x14ac:dyDescent="0.4">
      <c r="A1878" s="186"/>
      <c r="B1878" s="1264"/>
      <c r="C1878" s="1264"/>
      <c r="D1878" s="1264"/>
      <c r="E1878" s="535"/>
      <c r="F1878" s="536"/>
      <c r="G1878" s="536"/>
      <c r="H1878" s="537"/>
      <c r="I1878" s="503"/>
      <c r="J1878" s="494" t="s">
        <v>37</v>
      </c>
      <c r="K1878" s="193">
        <f>+K1877</f>
        <v>478.09453528366123</v>
      </c>
      <c r="L1878" s="186" t="s">
        <v>108</v>
      </c>
      <c r="M1878" s="96"/>
      <c r="N1878" s="50"/>
      <c r="O1878" s="5"/>
      <c r="P1878" s="9"/>
      <c r="Q1878" s="34"/>
      <c r="R1878" s="5"/>
      <c r="S1878" s="35"/>
    </row>
    <row r="1879" spans="1:25" ht="30" customHeight="1" thickBot="1" x14ac:dyDescent="0.4">
      <c r="A1879" s="1199"/>
      <c r="B1879" s="1200"/>
      <c r="C1879" s="1200"/>
      <c r="D1879" s="1200"/>
      <c r="E1879" s="1200"/>
      <c r="F1879" s="1200"/>
      <c r="G1879" s="1200"/>
      <c r="H1879" s="1200"/>
      <c r="I1879" s="1200"/>
      <c r="J1879" s="1200"/>
      <c r="K1879" s="1200"/>
      <c r="L1879" s="1201"/>
      <c r="M1879" s="50"/>
      <c r="N1879" s="96"/>
      <c r="O1879" s="5"/>
      <c r="P1879" s="9"/>
      <c r="Q1879" s="34"/>
      <c r="R1879" s="5"/>
      <c r="S1879" s="35"/>
    </row>
    <row r="1880" spans="1:25" ht="30" customHeight="1" x14ac:dyDescent="0.35">
      <c r="A1880" s="388" t="s">
        <v>1</v>
      </c>
      <c r="B1880" s="389">
        <v>2192</v>
      </c>
      <c r="C1880" s="1205" t="s">
        <v>961</v>
      </c>
      <c r="D1880" s="1206"/>
      <c r="E1880" s="392" t="s">
        <v>3</v>
      </c>
      <c r="F1880" s="393" t="s">
        <v>40</v>
      </c>
      <c r="G1880" s="390" t="s">
        <v>2</v>
      </c>
      <c r="H1880" s="660">
        <v>1</v>
      </c>
      <c r="I1880" s="392" t="s">
        <v>5</v>
      </c>
      <c r="J1880" s="1207" t="s">
        <v>2538</v>
      </c>
      <c r="K1880" s="1207"/>
      <c r="L1880" s="1208"/>
      <c r="M1880" s="50"/>
      <c r="O1880" s="5"/>
      <c r="P1880" s="9"/>
      <c r="Q1880" s="34"/>
      <c r="R1880" s="5"/>
      <c r="S1880" s="35"/>
    </row>
    <row r="1881" spans="1:25" ht="30" customHeight="1" x14ac:dyDescent="0.35">
      <c r="A1881" s="185" t="s">
        <v>177</v>
      </c>
      <c r="B1881" s="1272" t="s">
        <v>7</v>
      </c>
      <c r="C1881" s="1272"/>
      <c r="D1881" s="1272"/>
      <c r="E1881" s="397" t="s">
        <v>52</v>
      </c>
      <c r="F1881" s="185" t="s">
        <v>178</v>
      </c>
      <c r="G1881" s="1292" t="s">
        <v>9</v>
      </c>
      <c r="H1881" s="1293"/>
      <c r="I1881" s="1221" t="s">
        <v>179</v>
      </c>
      <c r="J1881" s="1222"/>
      <c r="K1881" s="1209" t="s">
        <v>180</v>
      </c>
      <c r="L1881" s="1210"/>
      <c r="M1881" s="50"/>
      <c r="N1881" s="50"/>
      <c r="O1881" s="5"/>
      <c r="P1881" s="9"/>
      <c r="Q1881" s="34"/>
      <c r="R1881" s="5"/>
      <c r="S1881" s="35"/>
    </row>
    <row r="1882" spans="1:25" ht="30" customHeight="1" x14ac:dyDescent="0.35">
      <c r="A1882" s="401">
        <v>21885</v>
      </c>
      <c r="B1882" s="1586" t="s">
        <v>2554</v>
      </c>
      <c r="C1882" s="1587"/>
      <c r="D1882" s="1588"/>
      <c r="E1882" s="191">
        <v>488</v>
      </c>
      <c r="F1882" s="211">
        <v>29000</v>
      </c>
      <c r="G1882" s="401">
        <v>1500</v>
      </c>
      <c r="H1882" s="401" t="s">
        <v>214</v>
      </c>
      <c r="I1882" s="1217">
        <f>+'FY2024 MILCON Inflation Table'!F22</f>
        <v>0.95834826759383673</v>
      </c>
      <c r="J1882" s="1218"/>
      <c r="K1882" s="187">
        <f>+E1882*G1882*I1882</f>
        <v>701510.93187868851</v>
      </c>
      <c r="L1882" s="401" t="s">
        <v>40</v>
      </c>
      <c r="M1882" s="50"/>
      <c r="N1882" s="50"/>
      <c r="O1882" s="5"/>
      <c r="P1882" s="9"/>
      <c r="Q1882" s="34"/>
      <c r="R1882" s="5"/>
      <c r="S1882" s="35"/>
    </row>
    <row r="1883" spans="1:25" ht="30" customHeight="1" x14ac:dyDescent="0.35">
      <c r="A1883" s="186"/>
      <c r="B1883" s="1212" t="s">
        <v>2835</v>
      </c>
      <c r="C1883" s="1213"/>
      <c r="D1883" s="1214"/>
      <c r="E1883" s="194"/>
      <c r="F1883" s="186"/>
      <c r="G1883" s="748"/>
      <c r="H1883" s="186"/>
      <c r="I1883" s="186"/>
      <c r="J1883" s="204"/>
      <c r="K1883" s="194"/>
      <c r="L1883" s="186"/>
      <c r="M1883" s="50"/>
      <c r="N1883" s="50"/>
      <c r="O1883" s="5"/>
      <c r="P1883" s="9"/>
      <c r="Q1883" s="34"/>
      <c r="R1883" s="5"/>
      <c r="S1883" s="35"/>
    </row>
    <row r="1884" spans="1:25" ht="30" customHeight="1" thickBot="1" x14ac:dyDescent="0.4">
      <c r="A1884" s="186"/>
      <c r="B1884" s="186"/>
      <c r="C1884" s="503"/>
      <c r="D1884" s="503"/>
      <c r="E1884" s="503"/>
      <c r="F1884" s="1228"/>
      <c r="G1884" s="1229"/>
      <c r="H1884" s="1229"/>
      <c r="I1884" s="1229"/>
      <c r="J1884" s="494" t="s">
        <v>37</v>
      </c>
      <c r="K1884" s="724">
        <f>+K1882</f>
        <v>701510.93187868851</v>
      </c>
      <c r="L1884" s="186" t="s">
        <v>40</v>
      </c>
      <c r="M1884" s="50"/>
      <c r="N1884" s="50"/>
    </row>
    <row r="1885" spans="1:25" ht="30" customHeight="1" thickBot="1" x14ac:dyDescent="0.4">
      <c r="A1885" s="1199"/>
      <c r="B1885" s="1200"/>
      <c r="C1885" s="1200"/>
      <c r="D1885" s="1200"/>
      <c r="E1885" s="1200"/>
      <c r="F1885" s="1200"/>
      <c r="G1885" s="1200"/>
      <c r="H1885" s="1200"/>
      <c r="I1885" s="1200"/>
      <c r="J1885" s="1200"/>
      <c r="K1885" s="1200"/>
      <c r="L1885" s="1201"/>
      <c r="N1885" s="50"/>
      <c r="O1885" s="5"/>
      <c r="P1885" s="9"/>
      <c r="Q1885" s="34"/>
      <c r="R1885" s="5"/>
      <c r="S1885" s="35"/>
    </row>
    <row r="1886" spans="1:25" ht="30" customHeight="1" x14ac:dyDescent="0.35">
      <c r="A1886" s="388" t="s">
        <v>1</v>
      </c>
      <c r="B1886" s="389">
        <v>2211</v>
      </c>
      <c r="C1886" s="1648" t="s">
        <v>962</v>
      </c>
      <c r="D1886" s="1649"/>
      <c r="E1886" s="392" t="s">
        <v>3</v>
      </c>
      <c r="F1886" s="393" t="s">
        <v>108</v>
      </c>
      <c r="G1886" s="390" t="s">
        <v>38</v>
      </c>
      <c r="H1886" s="886">
        <v>62118.059440559402</v>
      </c>
      <c r="I1886" s="392" t="s">
        <v>5</v>
      </c>
      <c r="J1886" s="1207" t="s">
        <v>2481</v>
      </c>
      <c r="K1886" s="1207"/>
      <c r="L1886" s="1208"/>
      <c r="M1886" s="50"/>
      <c r="N1886" s="97"/>
      <c r="O1886" s="5"/>
      <c r="P1886" s="9"/>
      <c r="Q1886" s="34"/>
      <c r="R1886" s="5"/>
      <c r="S1886" s="35"/>
      <c r="X1886" s="396"/>
      <c r="Y1886" s="396"/>
    </row>
    <row r="1887" spans="1:25" s="396" customFormat="1" ht="30" customHeight="1" x14ac:dyDescent="0.35">
      <c r="A1887" s="494" t="s">
        <v>187</v>
      </c>
      <c r="B1887" s="1280" t="s">
        <v>211</v>
      </c>
      <c r="C1887" s="1281"/>
      <c r="D1887" s="1282"/>
      <c r="E1887" s="566" t="s">
        <v>52</v>
      </c>
      <c r="F1887" s="566" t="s">
        <v>53</v>
      </c>
      <c r="G1887" s="1209" t="s">
        <v>54</v>
      </c>
      <c r="H1887" s="1210"/>
      <c r="I1887" s="878" t="s">
        <v>841</v>
      </c>
      <c r="J1887" s="185" t="s">
        <v>188</v>
      </c>
      <c r="K1887" s="1209" t="s">
        <v>180</v>
      </c>
      <c r="L1887" s="1210"/>
      <c r="M1887" s="50"/>
      <c r="N1887" s="50"/>
      <c r="O1887" s="5"/>
      <c r="P1887" s="9"/>
      <c r="Q1887" s="34"/>
      <c r="R1887" s="5"/>
      <c r="S1887" s="35"/>
      <c r="T1887" s="9"/>
      <c r="U1887" s="9"/>
      <c r="V1887" s="9"/>
      <c r="W1887" s="9"/>
      <c r="X1887" s="9"/>
      <c r="Y1887" s="9"/>
    </row>
    <row r="1888" spans="1:25" ht="30" customHeight="1" x14ac:dyDescent="0.35">
      <c r="A1888" s="186" t="s">
        <v>842</v>
      </c>
      <c r="B1888" s="1389" t="s">
        <v>2482</v>
      </c>
      <c r="C1888" s="1390"/>
      <c r="D1888" s="1391"/>
      <c r="E1888" s="194">
        <f>205-3.15</f>
        <v>201.85</v>
      </c>
      <c r="F1888" s="186" t="s">
        <v>108</v>
      </c>
      <c r="G1888" s="707"/>
      <c r="H1888" s="708"/>
      <c r="I1888" s="58">
        <f>+E1888</f>
        <v>201.85</v>
      </c>
      <c r="J1888" s="186">
        <v>1.1299999999999999</v>
      </c>
      <c r="K1888" s="7">
        <f>+I1888*J1888</f>
        <v>228.09049999999996</v>
      </c>
      <c r="L1888" s="186" t="s">
        <v>108</v>
      </c>
      <c r="M1888" s="50"/>
      <c r="N1888" s="50"/>
      <c r="O1888" s="5"/>
      <c r="P1888" s="9"/>
      <c r="Q1888" s="34"/>
      <c r="R1888" s="5"/>
      <c r="S1888" s="35"/>
    </row>
    <row r="1889" spans="1:19" ht="30" customHeight="1" x14ac:dyDescent="0.35">
      <c r="A1889" s="186" t="s">
        <v>249</v>
      </c>
      <c r="B1889" s="1212" t="s">
        <v>2484</v>
      </c>
      <c r="C1889" s="1213"/>
      <c r="D1889" s="1214"/>
      <c r="E1889" s="11">
        <v>3.93</v>
      </c>
      <c r="F1889" s="186" t="s">
        <v>108</v>
      </c>
      <c r="G1889" s="117"/>
      <c r="H1889" s="554"/>
      <c r="I1889" s="141">
        <f>+E1889</f>
        <v>3.93</v>
      </c>
      <c r="J1889" s="186">
        <v>1.1299999999999999</v>
      </c>
      <c r="K1889" s="7">
        <f t="shared" ref="K1889:K1896" si="46">+I1889*J1889</f>
        <v>4.4409000000000001</v>
      </c>
      <c r="L1889" s="186" t="s">
        <v>108</v>
      </c>
      <c r="M1889" s="50"/>
      <c r="N1889" s="50"/>
      <c r="O1889" s="5"/>
      <c r="P1889" s="9"/>
      <c r="Q1889" s="34"/>
      <c r="R1889" s="5"/>
      <c r="S1889" s="35"/>
    </row>
    <row r="1890" spans="1:19" ht="30" customHeight="1" x14ac:dyDescent="0.35">
      <c r="A1890" s="186" t="s">
        <v>249</v>
      </c>
      <c r="B1890" s="1212" t="s">
        <v>845</v>
      </c>
      <c r="C1890" s="1213"/>
      <c r="D1890" s="1214"/>
      <c r="E1890" s="193">
        <f xml:space="preserve"> 0.72+((1.42+2.11)/2)</f>
        <v>2.4849999999999999</v>
      </c>
      <c r="F1890" s="127" t="s">
        <v>108</v>
      </c>
      <c r="G1890" s="117"/>
      <c r="H1890" s="554"/>
      <c r="I1890" s="141">
        <f>+E1890</f>
        <v>2.4849999999999999</v>
      </c>
      <c r="J1890" s="186">
        <v>1.1299999999999999</v>
      </c>
      <c r="K1890" s="7">
        <f t="shared" si="46"/>
        <v>2.8080499999999997</v>
      </c>
      <c r="L1890" s="186" t="s">
        <v>108</v>
      </c>
      <c r="M1890" s="50"/>
      <c r="N1890" s="50"/>
      <c r="O1890" s="5"/>
      <c r="P1890" s="9"/>
      <c r="Q1890" s="34"/>
      <c r="R1890" s="5"/>
      <c r="S1890" s="35"/>
    </row>
    <row r="1891" spans="1:19" ht="30" customHeight="1" x14ac:dyDescent="0.35">
      <c r="A1891" s="186" t="s">
        <v>333</v>
      </c>
      <c r="B1891" s="1212" t="s">
        <v>963</v>
      </c>
      <c r="C1891" s="1213"/>
      <c r="D1891" s="1214"/>
      <c r="E1891" s="194">
        <v>258000</v>
      </c>
      <c r="F1891" s="127" t="s">
        <v>40</v>
      </c>
      <c r="G1891" s="117"/>
      <c r="H1891" s="554"/>
      <c r="I1891" s="141">
        <f>+E1891*2/H1886</f>
        <v>8.3067630355349227</v>
      </c>
      <c r="J1891" s="186">
        <v>1.26</v>
      </c>
      <c r="K1891" s="7">
        <f>+I1891*J1891</f>
        <v>10.466521424774003</v>
      </c>
      <c r="L1891" s="186" t="s">
        <v>108</v>
      </c>
      <c r="M1891" s="50"/>
      <c r="N1891" s="50"/>
      <c r="O1891" s="5"/>
      <c r="P1891" s="9"/>
      <c r="Q1891" s="34"/>
      <c r="R1891" s="5"/>
      <c r="S1891" s="35"/>
    </row>
    <row r="1892" spans="1:19" ht="30" customHeight="1" x14ac:dyDescent="0.35">
      <c r="A1892" s="186" t="s">
        <v>268</v>
      </c>
      <c r="B1892" s="1212" t="s">
        <v>2485</v>
      </c>
      <c r="C1892" s="1213"/>
      <c r="D1892" s="1214"/>
      <c r="E1892" s="194">
        <f>(24+37.25)/2</f>
        <v>30.625</v>
      </c>
      <c r="F1892" s="127" t="s">
        <v>108</v>
      </c>
      <c r="G1892" s="117">
        <f>120*12</f>
        <v>1440</v>
      </c>
      <c r="H1892" s="554" t="s">
        <v>275</v>
      </c>
      <c r="I1892" s="141">
        <f>+E1892*G1892/H1886</f>
        <v>0.7099384687346707</v>
      </c>
      <c r="J1892" s="186">
        <v>1.22</v>
      </c>
      <c r="K1892" s="7">
        <f t="shared" si="46"/>
        <v>0.86612493185629824</v>
      </c>
      <c r="L1892" s="186" t="s">
        <v>108</v>
      </c>
      <c r="M1892" s="50"/>
      <c r="N1892" s="50"/>
      <c r="O1892" s="5"/>
      <c r="P1892" s="9"/>
      <c r="Q1892" s="34"/>
      <c r="R1892" s="5"/>
      <c r="S1892" s="35"/>
    </row>
    <row r="1893" spans="1:19" ht="30" customHeight="1" x14ac:dyDescent="0.35">
      <c r="A1893" s="186" t="s">
        <v>268</v>
      </c>
      <c r="B1893" s="1212" t="s">
        <v>964</v>
      </c>
      <c r="C1893" s="1213"/>
      <c r="D1893" s="1214"/>
      <c r="E1893" s="194">
        <f>(2020+2850)/2</f>
        <v>2435</v>
      </c>
      <c r="F1893" s="127" t="s">
        <v>40</v>
      </c>
      <c r="G1893" s="117"/>
      <c r="H1893" s="554"/>
      <c r="I1893" s="141">
        <f>12*E1893/H1886</f>
        <v>0.47039460445412878</v>
      </c>
      <c r="J1893" s="186">
        <v>1.22</v>
      </c>
      <c r="K1893" s="7">
        <f t="shared" si="46"/>
        <v>0.57388141743403709</v>
      </c>
      <c r="L1893" s="186" t="s">
        <v>108</v>
      </c>
      <c r="M1893" s="50"/>
      <c r="N1893" s="50"/>
      <c r="O1893" s="5"/>
      <c r="P1893" s="9"/>
      <c r="Q1893" s="34"/>
      <c r="R1893" s="5"/>
      <c r="S1893" s="35"/>
    </row>
    <row r="1894" spans="1:19" ht="30" customHeight="1" x14ac:dyDescent="0.35">
      <c r="A1894" s="186" t="s">
        <v>271</v>
      </c>
      <c r="B1894" s="1212" t="s">
        <v>2486</v>
      </c>
      <c r="C1894" s="1213"/>
      <c r="D1894" s="1214"/>
      <c r="E1894" s="194">
        <v>72.38</v>
      </c>
      <c r="F1894" s="127" t="s">
        <v>28</v>
      </c>
      <c r="G1894" s="117">
        <f>12*10</f>
        <v>120</v>
      </c>
      <c r="H1894" s="554" t="s">
        <v>965</v>
      </c>
      <c r="I1894" s="141">
        <f>+E1894*G1894/$H$1886</f>
        <v>0.13982407174698083</v>
      </c>
      <c r="J1894" s="186">
        <v>1.1200000000000001</v>
      </c>
      <c r="K1894" s="7">
        <f t="shared" si="46"/>
        <v>0.15660296035661855</v>
      </c>
      <c r="L1894" s="186" t="s">
        <v>108</v>
      </c>
      <c r="M1894" s="50"/>
      <c r="N1894" s="50"/>
      <c r="O1894" s="5"/>
      <c r="P1894" s="9"/>
      <c r="Q1894" s="34"/>
      <c r="R1894" s="5"/>
      <c r="S1894" s="35"/>
    </row>
    <row r="1895" spans="1:19" ht="30" customHeight="1" x14ac:dyDescent="0.35">
      <c r="A1895" s="186" t="s">
        <v>271</v>
      </c>
      <c r="B1895" s="1212" t="s">
        <v>272</v>
      </c>
      <c r="C1895" s="1213"/>
      <c r="D1895" s="1214"/>
      <c r="E1895" s="194">
        <f>+(8000+15300)/2</f>
        <v>11650</v>
      </c>
      <c r="F1895" s="127" t="s">
        <v>40</v>
      </c>
      <c r="G1895" s="117">
        <v>12</v>
      </c>
      <c r="H1895" s="554" t="s">
        <v>847</v>
      </c>
      <c r="I1895" s="141">
        <f>+E1895*G1895/$H$1886</f>
        <v>2.2505532410228337</v>
      </c>
      <c r="J1895" s="186">
        <v>1.1200000000000001</v>
      </c>
      <c r="K1895" s="7">
        <f t="shared" si="46"/>
        <v>2.5206196299455739</v>
      </c>
      <c r="L1895" s="186" t="s">
        <v>108</v>
      </c>
      <c r="M1895" s="50"/>
      <c r="N1895" s="50"/>
      <c r="O1895" s="5"/>
      <c r="P1895" s="9"/>
      <c r="Q1895" s="34"/>
      <c r="R1895" s="5"/>
      <c r="S1895" s="35"/>
    </row>
    <row r="1896" spans="1:19" ht="30" customHeight="1" x14ac:dyDescent="0.35">
      <c r="A1896" s="186" t="s">
        <v>271</v>
      </c>
      <c r="B1896" s="1212" t="s">
        <v>853</v>
      </c>
      <c r="C1896" s="1213"/>
      <c r="D1896" s="1214"/>
      <c r="E1896" s="11">
        <f>+(820+1260)/2</f>
        <v>1040</v>
      </c>
      <c r="F1896" s="127" t="s">
        <v>40</v>
      </c>
      <c r="G1896" s="117">
        <v>12</v>
      </c>
      <c r="H1896" s="554" t="s">
        <v>847</v>
      </c>
      <c r="I1896" s="141">
        <f>+E1896*G1896/$H$1886</f>
        <v>0.20090775713851908</v>
      </c>
      <c r="J1896" s="186">
        <v>1.1200000000000001</v>
      </c>
      <c r="K1896" s="7">
        <f t="shared" si="46"/>
        <v>0.22501668799514138</v>
      </c>
      <c r="L1896" s="186" t="s">
        <v>108</v>
      </c>
      <c r="M1896" s="50"/>
      <c r="O1896" s="5"/>
      <c r="P1896" s="9"/>
      <c r="Q1896" s="34"/>
      <c r="R1896" s="5"/>
      <c r="S1896" s="35"/>
    </row>
    <row r="1897" spans="1:19" ht="30" customHeight="1" x14ac:dyDescent="0.35">
      <c r="A1897" s="186"/>
      <c r="B1897" s="1212"/>
      <c r="C1897" s="1213"/>
      <c r="D1897" s="1214"/>
      <c r="E1897" s="194"/>
      <c r="F1897" s="186"/>
      <c r="G1897" s="503"/>
      <c r="H1897" s="534"/>
      <c r="I1897" s="534"/>
      <c r="J1897" s="186" t="s">
        <v>251</v>
      </c>
      <c r="K1897" s="194">
        <f>SUM(K1888:K1896)</f>
        <v>250.14821705236164</v>
      </c>
      <c r="L1897" s="186" t="s">
        <v>108</v>
      </c>
      <c r="M1897" s="50"/>
      <c r="N1897" s="50"/>
      <c r="O1897" s="5"/>
      <c r="P1897" s="9"/>
      <c r="Q1897" s="34"/>
      <c r="R1897" s="5"/>
      <c r="S1897" s="35"/>
    </row>
    <row r="1898" spans="1:19" ht="30" customHeight="1" x14ac:dyDescent="0.35">
      <c r="A1898" s="186"/>
      <c r="B1898" s="567"/>
      <c r="C1898" s="567"/>
      <c r="D1898" s="567"/>
      <c r="E1898" s="567"/>
      <c r="F1898" s="1215" t="s">
        <v>195</v>
      </c>
      <c r="G1898" s="1491" t="s">
        <v>196</v>
      </c>
      <c r="H1898" s="1413"/>
      <c r="I1898" s="1413"/>
      <c r="J1898" s="1414"/>
      <c r="K1898" s="196">
        <v>1.04</v>
      </c>
      <c r="L1898" s="186"/>
      <c r="M1898" s="50"/>
      <c r="N1898" s="50"/>
      <c r="O1898" s="5"/>
      <c r="P1898" s="9"/>
      <c r="Q1898" s="34"/>
      <c r="R1898" s="5"/>
      <c r="S1898" s="35"/>
    </row>
    <row r="1899" spans="1:19" ht="30" customHeight="1" x14ac:dyDescent="0.35">
      <c r="A1899" s="186"/>
      <c r="B1899" s="567"/>
      <c r="C1899" s="567"/>
      <c r="D1899" s="567"/>
      <c r="E1899" s="567"/>
      <c r="F1899" s="1216"/>
      <c r="G1899" s="1268" t="s">
        <v>2477</v>
      </c>
      <c r="H1899" s="1268"/>
      <c r="I1899" s="1268"/>
      <c r="J1899" s="1268"/>
      <c r="K1899" s="196">
        <v>1.05</v>
      </c>
      <c r="L1899" s="186"/>
      <c r="M1899" s="50"/>
      <c r="N1899" s="50"/>
      <c r="O1899" s="5"/>
      <c r="P1899" s="9"/>
      <c r="Q1899" s="34"/>
      <c r="R1899" s="5"/>
      <c r="S1899" s="35"/>
    </row>
    <row r="1900" spans="1:19" ht="30" customHeight="1" x14ac:dyDescent="0.35">
      <c r="A1900" s="186"/>
      <c r="B1900" s="186"/>
      <c r="C1900" s="503"/>
      <c r="D1900" s="503"/>
      <c r="E1900" s="503"/>
      <c r="F1900" s="503"/>
      <c r="G1900" s="503"/>
      <c r="H1900" s="503"/>
      <c r="I1900" s="503"/>
      <c r="J1900" s="186" t="s">
        <v>37</v>
      </c>
      <c r="K1900" s="193">
        <f>+K1897*K1898/K1899</f>
        <v>247.76585308043437</v>
      </c>
      <c r="L1900" s="186" t="s">
        <v>108</v>
      </c>
      <c r="M1900" s="50"/>
      <c r="N1900" s="50"/>
      <c r="O1900" s="5"/>
      <c r="P1900" s="9"/>
      <c r="Q1900" s="34"/>
      <c r="R1900" s="5"/>
      <c r="S1900" s="35"/>
    </row>
    <row r="1901" spans="1:19" ht="30" customHeight="1" x14ac:dyDescent="0.35">
      <c r="A1901" s="661"/>
      <c r="B1901" s="661"/>
      <c r="C1901" s="662"/>
      <c r="D1901" s="662"/>
      <c r="E1901" s="662"/>
      <c r="F1901" s="662"/>
      <c r="G1901" s="1228" t="s">
        <v>257</v>
      </c>
      <c r="H1901" s="1229"/>
      <c r="I1901" s="1230"/>
      <c r="J1901" s="560">
        <f>VLOOKUP(B1886,'Mil Cost Premiums for PUCs'!$A$4:$R$285,18,FALSE)</f>
        <v>1.1932356231980656</v>
      </c>
      <c r="K1901" s="272">
        <f>+K1900*J1901</f>
        <v>295.64304210763248</v>
      </c>
      <c r="L1901" s="186" t="s">
        <v>108</v>
      </c>
      <c r="M1901" s="50"/>
      <c r="N1901" s="50"/>
      <c r="O1901" s="5"/>
      <c r="P1901" s="9"/>
      <c r="Q1901" s="34"/>
      <c r="R1901" s="5"/>
      <c r="S1901" s="35"/>
    </row>
    <row r="1902" spans="1:19" ht="30" customHeight="1" thickBot="1" x14ac:dyDescent="0.4">
      <c r="A1902" s="661"/>
      <c r="B1902" s="661"/>
      <c r="C1902" s="662"/>
      <c r="D1902" s="662"/>
      <c r="E1902" s="662"/>
      <c r="F1902" s="662"/>
      <c r="G1902" s="1228" t="s">
        <v>3000</v>
      </c>
      <c r="H1902" s="1229"/>
      <c r="I1902" s="1230"/>
      <c r="J1902" s="560">
        <v>1.0438745311870361</v>
      </c>
      <c r="K1902" s="272">
        <f>+K1901*J1902</f>
        <v>308.61424197881405</v>
      </c>
      <c r="L1902" s="186" t="s">
        <v>108</v>
      </c>
      <c r="M1902" s="50"/>
      <c r="N1902" s="50"/>
      <c r="O1902" s="5"/>
      <c r="P1902" s="9"/>
      <c r="Q1902" s="34"/>
      <c r="R1902" s="5"/>
      <c r="S1902" s="35"/>
    </row>
    <row r="1903" spans="1:19" ht="30" customHeight="1" thickBot="1" x14ac:dyDescent="0.4">
      <c r="A1903" s="1199"/>
      <c r="B1903" s="1200"/>
      <c r="C1903" s="1200"/>
      <c r="D1903" s="1200"/>
      <c r="E1903" s="1200"/>
      <c r="F1903" s="1200"/>
      <c r="G1903" s="1200"/>
      <c r="H1903" s="1200"/>
      <c r="I1903" s="1200"/>
      <c r="J1903" s="1200"/>
      <c r="K1903" s="1200"/>
      <c r="L1903" s="1201"/>
      <c r="M1903" s="50"/>
      <c r="N1903" s="50"/>
      <c r="O1903" s="539"/>
      <c r="P1903" s="9"/>
      <c r="Q1903" s="34"/>
      <c r="R1903" s="5"/>
      <c r="S1903" s="35"/>
    </row>
    <row r="1904" spans="1:19" ht="30" customHeight="1" x14ac:dyDescent="0.35">
      <c r="A1904" s="388" t="s">
        <v>1</v>
      </c>
      <c r="B1904" s="389">
        <v>2213</v>
      </c>
      <c r="C1904" s="1205" t="s">
        <v>966</v>
      </c>
      <c r="D1904" s="1206"/>
      <c r="E1904" s="392" t="s">
        <v>3</v>
      </c>
      <c r="F1904" s="393" t="s">
        <v>108</v>
      </c>
      <c r="G1904" s="390" t="s">
        <v>38</v>
      </c>
      <c r="H1904" s="660">
        <v>713</v>
      </c>
      <c r="I1904" s="392" t="s">
        <v>5</v>
      </c>
      <c r="J1904" s="1207" t="s">
        <v>2874</v>
      </c>
      <c r="K1904" s="1207"/>
      <c r="L1904" s="1208"/>
      <c r="M1904" s="50"/>
      <c r="N1904" s="50"/>
      <c r="O1904" s="539"/>
      <c r="P1904" s="9"/>
      <c r="Q1904" s="34"/>
      <c r="R1904" s="5"/>
      <c r="S1904" s="35"/>
    </row>
    <row r="1905" spans="1:23" ht="30" customHeight="1" x14ac:dyDescent="0.35">
      <c r="A1905" s="494" t="s">
        <v>187</v>
      </c>
      <c r="B1905" s="1280" t="s">
        <v>211</v>
      </c>
      <c r="C1905" s="1281"/>
      <c r="D1905" s="1282"/>
      <c r="E1905" s="566" t="s">
        <v>52</v>
      </c>
      <c r="F1905" s="566" t="s">
        <v>53</v>
      </c>
      <c r="G1905" s="1219" t="s">
        <v>54</v>
      </c>
      <c r="H1905" s="1220"/>
      <c r="I1905" s="185" t="s">
        <v>188</v>
      </c>
      <c r="J1905" s="185"/>
      <c r="K1905" s="1209" t="s">
        <v>180</v>
      </c>
      <c r="L1905" s="1210"/>
      <c r="M1905" s="50"/>
      <c r="N1905" s="50"/>
      <c r="O1905" s="5"/>
      <c r="P1905" s="9"/>
      <c r="Q1905" s="34"/>
      <c r="R1905" s="5"/>
      <c r="S1905" s="35"/>
    </row>
    <row r="1906" spans="1:23" ht="30" customHeight="1" x14ac:dyDescent="0.35">
      <c r="A1906" s="186" t="s">
        <v>842</v>
      </c>
      <c r="B1906" s="1212" t="s">
        <v>967</v>
      </c>
      <c r="C1906" s="1213"/>
      <c r="D1906" s="1214"/>
      <c r="E1906" s="194">
        <v>97</v>
      </c>
      <c r="F1906" s="186" t="s">
        <v>108</v>
      </c>
      <c r="G1906" s="186"/>
      <c r="H1906" s="186"/>
      <c r="I1906" s="196">
        <v>1.0900000000000001</v>
      </c>
      <c r="J1906" s="186"/>
      <c r="K1906" s="194">
        <f>+E1906*I1906</f>
        <v>105.73</v>
      </c>
      <c r="L1906" s="186" t="s">
        <v>108</v>
      </c>
      <c r="M1906" s="50"/>
      <c r="N1906" s="50"/>
      <c r="O1906" s="5"/>
      <c r="P1906" s="9"/>
      <c r="Q1906" s="34"/>
      <c r="R1906" s="5"/>
      <c r="S1906" s="35"/>
    </row>
    <row r="1907" spans="1:23" ht="30" customHeight="1" x14ac:dyDescent="0.35">
      <c r="A1907" s="186" t="s">
        <v>249</v>
      </c>
      <c r="B1907" s="1202" t="s">
        <v>968</v>
      </c>
      <c r="C1907" s="1203"/>
      <c r="D1907" s="1203"/>
      <c r="E1907" s="194">
        <v>5.0999999999999996</v>
      </c>
      <c r="F1907" s="127" t="s">
        <v>108</v>
      </c>
      <c r="G1907" s="503"/>
      <c r="H1907" s="534"/>
      <c r="I1907" s="196">
        <v>1.0900000000000001</v>
      </c>
      <c r="J1907" s="186"/>
      <c r="K1907" s="194">
        <f>+E1907*I1907</f>
        <v>5.5590000000000002</v>
      </c>
      <c r="L1907" s="186" t="s">
        <v>108</v>
      </c>
      <c r="M1907" s="50"/>
      <c r="N1907" s="50"/>
      <c r="O1907" s="539"/>
      <c r="P1907" s="9"/>
      <c r="Q1907" s="34"/>
      <c r="R1907" s="5"/>
      <c r="S1907" s="35"/>
    </row>
    <row r="1908" spans="1:23" ht="30" customHeight="1" x14ac:dyDescent="0.35">
      <c r="A1908" s="186"/>
      <c r="B1908" s="1264"/>
      <c r="C1908" s="1264"/>
      <c r="D1908" s="1264"/>
      <c r="E1908" s="194"/>
      <c r="F1908" s="186"/>
      <c r="G1908" s="503"/>
      <c r="H1908" s="534"/>
      <c r="I1908" s="186"/>
      <c r="J1908" s="186" t="s">
        <v>223</v>
      </c>
      <c r="K1908" s="194">
        <f>SUM(K1906:K1907)</f>
        <v>111.289</v>
      </c>
      <c r="L1908" s="186" t="s">
        <v>108</v>
      </c>
      <c r="M1908" s="50"/>
      <c r="N1908" s="50"/>
      <c r="O1908" s="539"/>
      <c r="P1908" s="9"/>
      <c r="Q1908" s="34"/>
      <c r="R1908" s="5"/>
      <c r="S1908" s="35"/>
    </row>
    <row r="1909" spans="1:23" ht="30" customHeight="1" x14ac:dyDescent="0.35">
      <c r="A1909" s="186"/>
      <c r="B1909" s="567"/>
      <c r="C1909" s="567"/>
      <c r="D1909" s="567"/>
      <c r="E1909" s="194"/>
      <c r="F1909" s="1215" t="s">
        <v>195</v>
      </c>
      <c r="G1909" s="1273" t="s">
        <v>196</v>
      </c>
      <c r="H1909" s="1273"/>
      <c r="I1909" s="1273"/>
      <c r="J1909" s="1273"/>
      <c r="K1909" s="196">
        <v>1.05</v>
      </c>
      <c r="L1909" s="186"/>
      <c r="M1909" s="50"/>
      <c r="N1909" s="50"/>
      <c r="P1909" s="9"/>
      <c r="Q1909" s="34"/>
      <c r="R1909" s="5"/>
      <c r="S1909" s="35"/>
    </row>
    <row r="1910" spans="1:23" ht="30" customHeight="1" x14ac:dyDescent="0.35">
      <c r="A1910" s="755"/>
      <c r="B1910" s="900"/>
      <c r="C1910" s="900"/>
      <c r="D1910" s="900"/>
      <c r="E1910" s="147"/>
      <c r="F1910" s="1609"/>
      <c r="G1910" s="1268" t="s">
        <v>2875</v>
      </c>
      <c r="H1910" s="1268"/>
      <c r="I1910" s="1268"/>
      <c r="J1910" s="1268"/>
      <c r="K1910" s="196">
        <v>1.07</v>
      </c>
      <c r="L1910" s="186"/>
      <c r="M1910" s="50"/>
      <c r="N1910" s="50"/>
      <c r="O1910" s="14"/>
      <c r="P1910" s="9"/>
      <c r="Q1910" s="34"/>
      <c r="R1910" s="5"/>
      <c r="S1910" s="35"/>
    </row>
    <row r="1911" spans="1:23" ht="30" customHeight="1" x14ac:dyDescent="0.35">
      <c r="A1911" s="897"/>
      <c r="B1911" s="897"/>
      <c r="C1911" s="901"/>
      <c r="D1911" s="901"/>
      <c r="E1911" s="901"/>
      <c r="F1911" s="901"/>
      <c r="G1911" s="901"/>
      <c r="H1911" s="901"/>
      <c r="I1911" s="901"/>
      <c r="J1911" s="136" t="s">
        <v>37</v>
      </c>
      <c r="K1911" s="193">
        <f>+K1908*K1909/K1910</f>
        <v>109.20883177570094</v>
      </c>
      <c r="L1911" s="186" t="s">
        <v>108</v>
      </c>
      <c r="M1911" s="50"/>
      <c r="N1911" s="50"/>
      <c r="O1911" s="5"/>
      <c r="P1911" s="9"/>
      <c r="Q1911" s="34"/>
      <c r="R1911" s="5"/>
      <c r="S1911" s="35"/>
    </row>
    <row r="1912" spans="1:23" ht="30" customHeight="1" thickBot="1" x14ac:dyDescent="0.4">
      <c r="A1912" s="902"/>
      <c r="B1912" s="1425"/>
      <c r="C1912" s="1425"/>
      <c r="D1912" s="1425"/>
      <c r="E1912" s="901"/>
      <c r="F1912" s="901"/>
      <c r="G1912" s="1768" t="s">
        <v>257</v>
      </c>
      <c r="H1912" s="1769"/>
      <c r="I1912" s="1770"/>
      <c r="J1912" s="903">
        <f>VLOOKUP(B1904,'Mil Cost Premiums for PUCs'!$A$4:$R$285,18,FALSE)</f>
        <v>1.1837478839085387</v>
      </c>
      <c r="K1912" s="193">
        <f>+K1911*J1912</f>
        <v>129.27572351860957</v>
      </c>
      <c r="L1912" s="186" t="s">
        <v>108</v>
      </c>
      <c r="M1912" s="50"/>
      <c r="N1912" s="50"/>
      <c r="O1912" s="539"/>
      <c r="P1912" s="9"/>
      <c r="Q1912" s="34"/>
      <c r="R1912" s="5"/>
      <c r="S1912" s="35"/>
    </row>
    <row r="1913" spans="1:23" ht="48.75" customHeight="1" thickBot="1" x14ac:dyDescent="0.4">
      <c r="A1913" s="1645"/>
      <c r="B1913" s="1646"/>
      <c r="C1913" s="1646"/>
      <c r="D1913" s="1646"/>
      <c r="E1913" s="1646"/>
      <c r="F1913" s="1646"/>
      <c r="G1913" s="1646"/>
      <c r="H1913" s="1646"/>
      <c r="I1913" s="1646"/>
      <c r="J1913" s="1646"/>
      <c r="K1913" s="1646"/>
      <c r="L1913" s="1647"/>
      <c r="N1913" s="50"/>
    </row>
    <row r="1914" spans="1:23" ht="30" customHeight="1" x14ac:dyDescent="0.35">
      <c r="A1914" s="455" t="s">
        <v>1</v>
      </c>
      <c r="B1914" s="439">
        <v>2221</v>
      </c>
      <c r="C1914" s="1384" t="s">
        <v>969</v>
      </c>
      <c r="D1914" s="1385"/>
      <c r="E1914" s="456" t="s">
        <v>3</v>
      </c>
      <c r="F1914" s="457" t="s">
        <v>108</v>
      </c>
      <c r="G1914" s="468" t="s">
        <v>38</v>
      </c>
      <c r="H1914" s="779">
        <v>12118.6733668341</v>
      </c>
      <c r="I1914" s="456" t="s">
        <v>5</v>
      </c>
      <c r="J1914" s="1411" t="s">
        <v>2481</v>
      </c>
      <c r="K1914" s="1411"/>
      <c r="L1914" s="1412"/>
      <c r="M1914" s="50"/>
      <c r="N1914" s="50"/>
      <c r="O1914" s="572"/>
      <c r="P1914" s="384"/>
      <c r="Q1914" s="396"/>
      <c r="R1914" s="396"/>
      <c r="S1914" s="396"/>
      <c r="T1914" s="396"/>
      <c r="U1914" s="396"/>
    </row>
    <row r="1915" spans="1:23" ht="30" customHeight="1" x14ac:dyDescent="0.35">
      <c r="A1915" s="494" t="s">
        <v>187</v>
      </c>
      <c r="B1915" s="1280" t="s">
        <v>211</v>
      </c>
      <c r="C1915" s="1281"/>
      <c r="D1915" s="1282"/>
      <c r="E1915" s="566" t="s">
        <v>52</v>
      </c>
      <c r="F1915" s="566" t="s">
        <v>53</v>
      </c>
      <c r="G1915" s="1219" t="s">
        <v>54</v>
      </c>
      <c r="H1915" s="1220"/>
      <c r="I1915" s="878" t="s">
        <v>841</v>
      </c>
      <c r="J1915" s="185" t="s">
        <v>188</v>
      </c>
      <c r="K1915" s="1209" t="s">
        <v>180</v>
      </c>
      <c r="L1915" s="1210"/>
      <c r="M1915" s="50"/>
      <c r="N1915" s="50"/>
    </row>
    <row r="1916" spans="1:23" ht="30" customHeight="1" x14ac:dyDescent="0.35">
      <c r="A1916" s="186" t="s">
        <v>842</v>
      </c>
      <c r="B1916" s="1389" t="s">
        <v>2482</v>
      </c>
      <c r="C1916" s="1390"/>
      <c r="D1916" s="1391"/>
      <c r="E1916" s="194">
        <f>205-3.15</f>
        <v>201.85</v>
      </c>
      <c r="F1916" s="186" t="s">
        <v>108</v>
      </c>
      <c r="G1916" s="707"/>
      <c r="H1916" s="708"/>
      <c r="I1916" s="58">
        <f>+E1916</f>
        <v>201.85</v>
      </c>
      <c r="J1916" s="186">
        <v>1.1299999999999999</v>
      </c>
      <c r="K1916" s="7">
        <f t="shared" ref="K1916:K1923" si="47">+I1916*J1916</f>
        <v>228.09049999999996</v>
      </c>
      <c r="L1916" s="186" t="s">
        <v>108</v>
      </c>
      <c r="M1916" s="50"/>
      <c r="N1916" s="50"/>
      <c r="V1916" s="396"/>
      <c r="W1916" s="396"/>
    </row>
    <row r="1917" spans="1:23" ht="30" customHeight="1" x14ac:dyDescent="0.35">
      <c r="A1917" s="186" t="s">
        <v>249</v>
      </c>
      <c r="B1917" s="1558" t="s">
        <v>256</v>
      </c>
      <c r="C1917" s="1558"/>
      <c r="D1917" s="1558"/>
      <c r="E1917" s="272">
        <v>5.38</v>
      </c>
      <c r="F1917" s="271" t="s">
        <v>108</v>
      </c>
      <c r="G1917" s="117"/>
      <c r="H1917" s="554"/>
      <c r="I1917" s="141">
        <f>+E1917</f>
        <v>5.38</v>
      </c>
      <c r="J1917" s="186">
        <v>1.1299999999999999</v>
      </c>
      <c r="K1917" s="7">
        <f t="shared" si="47"/>
        <v>6.0793999999999997</v>
      </c>
      <c r="L1917" s="186" t="s">
        <v>108</v>
      </c>
      <c r="M1917" s="50"/>
      <c r="N1917" s="50"/>
      <c r="T1917" s="53"/>
      <c r="U1917" s="53"/>
    </row>
    <row r="1918" spans="1:23" ht="30" customHeight="1" x14ac:dyDescent="0.35">
      <c r="A1918" s="186" t="s">
        <v>249</v>
      </c>
      <c r="B1918" s="1212" t="s">
        <v>844</v>
      </c>
      <c r="C1918" s="1213"/>
      <c r="D1918" s="1214"/>
      <c r="E1918" s="193">
        <f>0.15*E1917</f>
        <v>0.80699999999999994</v>
      </c>
      <c r="F1918" s="127" t="s">
        <v>108</v>
      </c>
      <c r="G1918" s="412"/>
      <c r="H1918" s="746"/>
      <c r="I1918" s="141">
        <f>+E1918</f>
        <v>0.80699999999999994</v>
      </c>
      <c r="J1918" s="186">
        <v>1.1299999999999999</v>
      </c>
      <c r="K1918" s="7">
        <f t="shared" si="47"/>
        <v>0.91190999999999989</v>
      </c>
      <c r="L1918" s="186" t="s">
        <v>108</v>
      </c>
      <c r="M1918" s="50"/>
      <c r="N1918" s="50"/>
      <c r="T1918" s="10"/>
      <c r="U1918" s="10"/>
    </row>
    <row r="1919" spans="1:23" ht="30" customHeight="1" x14ac:dyDescent="0.35">
      <c r="A1919" s="186" t="s">
        <v>249</v>
      </c>
      <c r="B1919" s="1558" t="s">
        <v>845</v>
      </c>
      <c r="C1919" s="1558"/>
      <c r="D1919" s="1558"/>
      <c r="E1919" s="272">
        <f xml:space="preserve"> 0.72+((1.42+2.11)/2)</f>
        <v>2.4849999999999999</v>
      </c>
      <c r="F1919" s="271" t="s">
        <v>108</v>
      </c>
      <c r="G1919" s="117"/>
      <c r="H1919" s="554"/>
      <c r="I1919" s="141">
        <f>+E1919</f>
        <v>2.4849999999999999</v>
      </c>
      <c r="J1919" s="186">
        <v>1.1299999999999999</v>
      </c>
      <c r="K1919" s="7">
        <f t="shared" si="47"/>
        <v>2.8080499999999997</v>
      </c>
      <c r="L1919" s="186" t="s">
        <v>108</v>
      </c>
      <c r="M1919" s="50"/>
      <c r="N1919" s="50"/>
      <c r="T1919" s="10"/>
      <c r="U1919" s="10"/>
    </row>
    <row r="1920" spans="1:23" ht="30" customHeight="1" x14ac:dyDescent="0.35">
      <c r="A1920" s="186" t="s">
        <v>333</v>
      </c>
      <c r="B1920" s="1212" t="s">
        <v>970</v>
      </c>
      <c r="C1920" s="1213"/>
      <c r="D1920" s="1214"/>
      <c r="E1920" s="194">
        <v>204000</v>
      </c>
      <c r="F1920" s="127" t="s">
        <v>40</v>
      </c>
      <c r="G1920" s="117"/>
      <c r="H1920" s="554"/>
      <c r="I1920" s="141">
        <f>+E1920/H1914</f>
        <v>16.833525735440567</v>
      </c>
      <c r="J1920" s="186">
        <v>1.26</v>
      </c>
      <c r="K1920" s="7">
        <f t="shared" si="47"/>
        <v>21.210242426655114</v>
      </c>
      <c r="L1920" s="186" t="s">
        <v>108</v>
      </c>
      <c r="M1920" s="50"/>
      <c r="N1920" s="50"/>
      <c r="Q1920" s="34"/>
      <c r="R1920" s="5"/>
      <c r="S1920" s="35"/>
    </row>
    <row r="1921" spans="1:19" ht="30" customHeight="1" x14ac:dyDescent="0.35">
      <c r="A1921" s="186" t="s">
        <v>268</v>
      </c>
      <c r="B1921" s="1212" t="s">
        <v>2487</v>
      </c>
      <c r="C1921" s="1213"/>
      <c r="D1921" s="1214"/>
      <c r="E1921" s="194">
        <f>(24+37.25)/2</f>
        <v>30.625</v>
      </c>
      <c r="F1921" s="127" t="s">
        <v>108</v>
      </c>
      <c r="G1921" s="117">
        <f>120*4</f>
        <v>480</v>
      </c>
      <c r="H1921" s="554" t="s">
        <v>275</v>
      </c>
      <c r="I1921" s="141">
        <f>+E1921*G1921/H1914</f>
        <v>1.2130040603479231</v>
      </c>
      <c r="J1921" s="186">
        <v>1.22</v>
      </c>
      <c r="K1921" s="7">
        <f t="shared" si="47"/>
        <v>1.4798649536244661</v>
      </c>
      <c r="L1921" s="186" t="s">
        <v>108</v>
      </c>
      <c r="M1921" s="50"/>
      <c r="N1921" s="50"/>
      <c r="O1921" s="56"/>
      <c r="P1921" s="56"/>
      <c r="Q1921" s="34"/>
      <c r="R1921" s="5"/>
      <c r="S1921" s="35"/>
    </row>
    <row r="1922" spans="1:19" ht="30" customHeight="1" x14ac:dyDescent="0.35">
      <c r="A1922" s="186" t="s">
        <v>268</v>
      </c>
      <c r="B1922" s="1212" t="s">
        <v>2488</v>
      </c>
      <c r="C1922" s="1213"/>
      <c r="D1922" s="1214"/>
      <c r="E1922" s="194">
        <f>(2020+2850)/2</f>
        <v>2435</v>
      </c>
      <c r="F1922" s="127" t="s">
        <v>40</v>
      </c>
      <c r="G1922" s="117"/>
      <c r="H1922" s="554"/>
      <c r="I1922" s="141">
        <f>4*E1922/H1914</f>
        <v>0.80371833658427017</v>
      </c>
      <c r="J1922" s="186">
        <v>1.22</v>
      </c>
      <c r="K1922" s="7">
        <f t="shared" si="47"/>
        <v>0.98053637063280963</v>
      </c>
      <c r="L1922" s="186" t="s">
        <v>108</v>
      </c>
      <c r="M1922" s="50"/>
      <c r="N1922" s="50"/>
      <c r="O1922" s="56"/>
      <c r="P1922" s="56"/>
      <c r="Q1922" s="34"/>
      <c r="R1922" s="5"/>
      <c r="S1922" s="35"/>
    </row>
    <row r="1923" spans="1:19" ht="30" customHeight="1" x14ac:dyDescent="0.35">
      <c r="A1923" s="186" t="s">
        <v>271</v>
      </c>
      <c r="B1923" s="1212" t="s">
        <v>2486</v>
      </c>
      <c r="C1923" s="1213"/>
      <c r="D1923" s="1214"/>
      <c r="E1923" s="194">
        <v>72.38</v>
      </c>
      <c r="F1923" s="127" t="s">
        <v>28</v>
      </c>
      <c r="G1923" s="117">
        <f>4*10</f>
        <v>40</v>
      </c>
      <c r="H1923" s="554" t="s">
        <v>965</v>
      </c>
      <c r="I1923" s="141">
        <f>+E1923*G1923/H1914</f>
        <v>0.23890403779042904</v>
      </c>
      <c r="J1923" s="186">
        <v>1.1200000000000001</v>
      </c>
      <c r="K1923" s="7">
        <f t="shared" si="47"/>
        <v>0.26757252232528056</v>
      </c>
      <c r="L1923" s="186" t="s">
        <v>108</v>
      </c>
      <c r="M1923" s="50"/>
      <c r="N1923" s="50"/>
      <c r="O1923" s="56"/>
      <c r="P1923" s="56"/>
      <c r="Q1923" s="34"/>
      <c r="R1923" s="5"/>
      <c r="S1923" s="35"/>
    </row>
    <row r="1924" spans="1:19" ht="30" customHeight="1" x14ac:dyDescent="0.35">
      <c r="A1924" s="186"/>
      <c r="B1924" s="1567"/>
      <c r="C1924" s="1567"/>
      <c r="D1924" s="1567"/>
      <c r="E1924" s="194"/>
      <c r="F1924" s="186"/>
      <c r="G1924" s="503"/>
      <c r="H1924" s="534"/>
      <c r="I1924" s="186"/>
      <c r="J1924" s="186" t="s">
        <v>223</v>
      </c>
      <c r="K1924" s="194">
        <f>SUM(K1916:K1923)</f>
        <v>261.82807627323768</v>
      </c>
      <c r="L1924" s="186" t="s">
        <v>108</v>
      </c>
      <c r="M1924" s="50"/>
      <c r="O1924" s="56"/>
      <c r="P1924" s="56"/>
      <c r="Q1924" s="34"/>
      <c r="R1924" s="5"/>
      <c r="S1924" s="35"/>
    </row>
    <row r="1925" spans="1:19" ht="30" customHeight="1" x14ac:dyDescent="0.35">
      <c r="A1925" s="186"/>
      <c r="B1925" s="567"/>
      <c r="C1925" s="567"/>
      <c r="D1925" s="567"/>
      <c r="E1925" s="194"/>
      <c r="F1925" s="1215" t="s">
        <v>195</v>
      </c>
      <c r="G1925" s="1273" t="s">
        <v>196</v>
      </c>
      <c r="H1925" s="1273"/>
      <c r="I1925" s="1273"/>
      <c r="J1925" s="1273"/>
      <c r="K1925" s="196">
        <v>1.04</v>
      </c>
      <c r="L1925" s="186"/>
      <c r="M1925" s="50"/>
      <c r="N1925" s="50"/>
      <c r="O1925" s="56"/>
      <c r="P1925" s="56"/>
      <c r="Q1925" s="34"/>
      <c r="R1925" s="5"/>
      <c r="S1925" s="35"/>
    </row>
    <row r="1926" spans="1:19" ht="30" customHeight="1" x14ac:dyDescent="0.35">
      <c r="A1926" s="186"/>
      <c r="B1926" s="567"/>
      <c r="C1926" s="567"/>
      <c r="D1926" s="567"/>
      <c r="E1926" s="194"/>
      <c r="F1926" s="1216"/>
      <c r="G1926" s="1268" t="s">
        <v>2477</v>
      </c>
      <c r="H1926" s="1268"/>
      <c r="I1926" s="1268"/>
      <c r="J1926" s="1268"/>
      <c r="K1926" s="196">
        <v>1.05</v>
      </c>
      <c r="L1926" s="186"/>
      <c r="M1926" s="50"/>
      <c r="N1926" s="96"/>
      <c r="O1926" s="56"/>
      <c r="P1926" s="56"/>
      <c r="Q1926" s="34"/>
      <c r="R1926" s="5"/>
      <c r="S1926" s="35"/>
    </row>
    <row r="1927" spans="1:19" ht="30" customHeight="1" x14ac:dyDescent="0.35">
      <c r="A1927" s="186"/>
      <c r="B1927" s="186"/>
      <c r="C1927" s="503"/>
      <c r="D1927" s="503"/>
      <c r="E1927" s="503"/>
      <c r="F1927" s="503"/>
      <c r="G1927" s="503"/>
      <c r="H1927" s="503"/>
      <c r="I1927" s="503"/>
      <c r="J1927" s="503" t="s">
        <v>37</v>
      </c>
      <c r="K1927" s="193">
        <f>+K1924*K1925/K1926</f>
        <v>259.3344755468259</v>
      </c>
      <c r="L1927" s="186" t="s">
        <v>108</v>
      </c>
      <c r="M1927" s="50"/>
      <c r="N1927" s="50"/>
      <c r="O1927" s="5"/>
      <c r="P1927" s="9"/>
      <c r="Q1927" s="34"/>
      <c r="R1927" s="5"/>
      <c r="S1927" s="35"/>
    </row>
    <row r="1928" spans="1:19" ht="30" customHeight="1" x14ac:dyDescent="0.35">
      <c r="A1928" s="186"/>
      <c r="B1928" s="186"/>
      <c r="C1928" s="503"/>
      <c r="D1928" s="503"/>
      <c r="E1928" s="503"/>
      <c r="F1928" s="503"/>
      <c r="G1928" s="1227" t="s">
        <v>2845</v>
      </c>
      <c r="H1928" s="1227"/>
      <c r="I1928" s="1227"/>
      <c r="J1928" s="560">
        <f>VLOOKUP(B1914,'Mil Cost Premiums for PUCs'!$A$4:$R$285,18,FALSE)</f>
        <v>1.1932356231980656</v>
      </c>
      <c r="K1928" s="193">
        <f>+K1927*J1928</f>
        <v>309.44713454586031</v>
      </c>
      <c r="L1928" s="186" t="s">
        <v>108</v>
      </c>
      <c r="M1928" s="50"/>
      <c r="N1928" s="50"/>
      <c r="O1928" s="724"/>
      <c r="P1928" s="724"/>
      <c r="Q1928" s="34"/>
      <c r="R1928" s="5"/>
      <c r="S1928" s="35"/>
    </row>
    <row r="1929" spans="1:19" ht="30" customHeight="1" thickBot="1" x14ac:dyDescent="0.4">
      <c r="A1929" s="186"/>
      <c r="B1929" s="186"/>
      <c r="C1929" s="503"/>
      <c r="D1929" s="503"/>
      <c r="E1929" s="503"/>
      <c r="F1929" s="503"/>
      <c r="G1929" s="1227" t="s">
        <v>3000</v>
      </c>
      <c r="H1929" s="1227"/>
      <c r="I1929" s="1227"/>
      <c r="J1929" s="560">
        <v>1.0438745311870361</v>
      </c>
      <c r="K1929" s="193">
        <f>+K1928*J1929</f>
        <v>323.02398250123161</v>
      </c>
      <c r="L1929" s="186" t="s">
        <v>108</v>
      </c>
      <c r="M1929" s="50"/>
      <c r="N1929" s="50"/>
      <c r="O1929" s="724"/>
      <c r="P1929" s="724"/>
      <c r="Q1929" s="34"/>
      <c r="R1929" s="5"/>
      <c r="S1929" s="35"/>
    </row>
    <row r="1930" spans="1:19" ht="30" customHeight="1" thickBot="1" x14ac:dyDescent="0.4">
      <c r="A1930" s="1199"/>
      <c r="B1930" s="1200"/>
      <c r="C1930" s="1200"/>
      <c r="D1930" s="1200"/>
      <c r="E1930" s="1200"/>
      <c r="F1930" s="1200"/>
      <c r="G1930" s="1200"/>
      <c r="H1930" s="1200"/>
      <c r="I1930" s="1200"/>
      <c r="J1930" s="1200"/>
      <c r="K1930" s="1200"/>
      <c r="L1930" s="1201"/>
      <c r="M1930" s="50"/>
      <c r="N1930" s="50"/>
      <c r="O1930" s="5"/>
      <c r="P1930" s="9"/>
      <c r="Q1930" s="34"/>
      <c r="R1930" s="5"/>
      <c r="S1930" s="35"/>
    </row>
    <row r="1931" spans="1:19" ht="30" customHeight="1" x14ac:dyDescent="0.35">
      <c r="A1931" s="388" t="s">
        <v>1</v>
      </c>
      <c r="B1931" s="389">
        <v>2231</v>
      </c>
      <c r="C1931" s="1487" t="s">
        <v>971</v>
      </c>
      <c r="D1931" s="1488"/>
      <c r="E1931" s="392" t="s">
        <v>3</v>
      </c>
      <c r="F1931" s="393" t="s">
        <v>108</v>
      </c>
      <c r="G1931" s="390" t="s">
        <v>38</v>
      </c>
      <c r="H1931" s="660">
        <v>45940</v>
      </c>
      <c r="I1931" s="392" t="s">
        <v>5</v>
      </c>
      <c r="J1931" s="1207" t="s">
        <v>2874</v>
      </c>
      <c r="K1931" s="1207"/>
      <c r="L1931" s="1208"/>
      <c r="M1931" s="50"/>
      <c r="N1931" s="97"/>
      <c r="O1931" s="5"/>
      <c r="P1931" s="9"/>
      <c r="Q1931" s="34"/>
      <c r="R1931" s="5"/>
      <c r="S1931" s="35"/>
    </row>
    <row r="1932" spans="1:19" ht="30" customHeight="1" x14ac:dyDescent="0.35">
      <c r="A1932" s="494" t="s">
        <v>187</v>
      </c>
      <c r="B1932" s="1280" t="s">
        <v>211</v>
      </c>
      <c r="C1932" s="1281"/>
      <c r="D1932" s="1282"/>
      <c r="E1932" s="566" t="s">
        <v>52</v>
      </c>
      <c r="F1932" s="566" t="s">
        <v>53</v>
      </c>
      <c r="G1932" s="1209" t="s">
        <v>54</v>
      </c>
      <c r="H1932" s="1210"/>
      <c r="I1932" s="185" t="s">
        <v>188</v>
      </c>
      <c r="J1932" s="185"/>
      <c r="K1932" s="1209" t="s">
        <v>180</v>
      </c>
      <c r="L1932" s="1210"/>
      <c r="M1932" s="50"/>
      <c r="N1932" s="50"/>
      <c r="O1932" s="5"/>
      <c r="P1932" s="9"/>
      <c r="Q1932" s="34"/>
      <c r="R1932" s="5"/>
      <c r="S1932" s="35"/>
    </row>
    <row r="1933" spans="1:19" ht="30" customHeight="1" x14ac:dyDescent="0.35">
      <c r="A1933" s="186" t="s">
        <v>842</v>
      </c>
      <c r="B1933" s="1212" t="s">
        <v>2489</v>
      </c>
      <c r="C1933" s="1213"/>
      <c r="D1933" s="1214"/>
      <c r="E1933" s="194">
        <f>187-3.15</f>
        <v>183.85</v>
      </c>
      <c r="F1933" s="186" t="s">
        <v>108</v>
      </c>
      <c r="G1933" s="186"/>
      <c r="H1933" s="186"/>
      <c r="I1933" s="186">
        <v>1.1399999999999999</v>
      </c>
      <c r="J1933" s="186"/>
      <c r="K1933" s="194">
        <f>+E1933*I1933</f>
        <v>209.58899999999997</v>
      </c>
      <c r="L1933" s="186" t="s">
        <v>108</v>
      </c>
      <c r="M1933" s="50"/>
      <c r="N1933" s="50"/>
      <c r="O1933" s="5"/>
      <c r="P1933" s="9"/>
      <c r="Q1933" s="34"/>
      <c r="R1933" s="5"/>
      <c r="S1933" s="35"/>
    </row>
    <row r="1934" spans="1:19" ht="30" customHeight="1" x14ac:dyDescent="0.35">
      <c r="A1934" s="186" t="s">
        <v>333</v>
      </c>
      <c r="B1934" s="1212" t="s">
        <v>972</v>
      </c>
      <c r="C1934" s="1213"/>
      <c r="D1934" s="1214"/>
      <c r="E1934" s="11">
        <v>317000</v>
      </c>
      <c r="F1934" s="186" t="s">
        <v>936</v>
      </c>
      <c r="G1934" s="907">
        <f>+H1931</f>
        <v>45940</v>
      </c>
      <c r="H1934" s="534" t="s">
        <v>933</v>
      </c>
      <c r="I1934" s="186">
        <v>1.01</v>
      </c>
      <c r="J1934" s="186"/>
      <c r="K1934" s="194">
        <f>(E1934*2)/G1934*I1934</f>
        <v>13.938615585546366</v>
      </c>
      <c r="L1934" s="186" t="s">
        <v>108</v>
      </c>
      <c r="M1934" s="50"/>
      <c r="N1934" s="50"/>
      <c r="O1934" s="5"/>
      <c r="P1934" s="9"/>
      <c r="Q1934" s="34"/>
      <c r="R1934" s="5"/>
      <c r="S1934" s="35"/>
    </row>
    <row r="1935" spans="1:19" ht="30" customHeight="1" x14ac:dyDescent="0.35">
      <c r="A1935" s="186" t="s">
        <v>249</v>
      </c>
      <c r="B1935" s="1202" t="s">
        <v>973</v>
      </c>
      <c r="C1935" s="1203"/>
      <c r="D1935" s="1204"/>
      <c r="E1935" s="194">
        <v>4.07</v>
      </c>
      <c r="F1935" s="127" t="s">
        <v>108</v>
      </c>
      <c r="G1935" s="503"/>
      <c r="H1935" s="534"/>
      <c r="I1935" s="186">
        <v>1.1399999999999999</v>
      </c>
      <c r="J1935" s="186"/>
      <c r="K1935" s="194">
        <f>+E1935*I1935</f>
        <v>4.6398000000000001</v>
      </c>
      <c r="L1935" s="186" t="s">
        <v>108</v>
      </c>
      <c r="M1935" s="50"/>
      <c r="N1935" s="50"/>
      <c r="O1935" s="5"/>
      <c r="P1935" s="9"/>
      <c r="Q1935" s="34"/>
      <c r="R1935" s="5"/>
      <c r="S1935" s="35"/>
    </row>
    <row r="1936" spans="1:19" ht="30" customHeight="1" x14ac:dyDescent="0.35">
      <c r="A1936" s="186"/>
      <c r="B1936" s="1212"/>
      <c r="C1936" s="1213"/>
      <c r="D1936" s="1214"/>
      <c r="E1936" s="194"/>
      <c r="F1936" s="186"/>
      <c r="G1936" s="503"/>
      <c r="H1936" s="534"/>
      <c r="I1936" s="186"/>
      <c r="J1936" s="186" t="s">
        <v>223</v>
      </c>
      <c r="K1936" s="194">
        <f>SUM(K1933:K1935)</f>
        <v>228.16741558554634</v>
      </c>
      <c r="L1936" s="186" t="s">
        <v>108</v>
      </c>
      <c r="M1936" s="50"/>
      <c r="N1936" s="50"/>
      <c r="O1936" s="5"/>
      <c r="P1936" s="9"/>
      <c r="Q1936" s="34"/>
      <c r="R1936" s="5"/>
      <c r="S1936" s="35"/>
    </row>
    <row r="1937" spans="1:19" ht="30" customHeight="1" x14ac:dyDescent="0.35">
      <c r="A1937" s="186"/>
      <c r="B1937" s="567"/>
      <c r="C1937" s="567"/>
      <c r="D1937" s="567"/>
      <c r="E1937" s="194"/>
      <c r="F1937" s="1215" t="s">
        <v>195</v>
      </c>
      <c r="G1937" s="1329" t="s">
        <v>196</v>
      </c>
      <c r="H1937" s="1330"/>
      <c r="I1937" s="1330"/>
      <c r="J1937" s="1331"/>
      <c r="K1937" s="196">
        <v>1.07</v>
      </c>
      <c r="L1937" s="186"/>
      <c r="M1937" s="50"/>
      <c r="N1937" s="50"/>
      <c r="O1937" s="5"/>
      <c r="P1937" s="9"/>
      <c r="Q1937" s="34"/>
      <c r="R1937" s="5"/>
      <c r="S1937" s="35"/>
    </row>
    <row r="1938" spans="1:19" ht="30" customHeight="1" x14ac:dyDescent="0.35">
      <c r="A1938" s="186"/>
      <c r="B1938" s="567"/>
      <c r="C1938" s="567"/>
      <c r="D1938" s="567"/>
      <c r="E1938" s="194"/>
      <c r="F1938" s="1216"/>
      <c r="G1938" s="1268" t="s">
        <v>2875</v>
      </c>
      <c r="H1938" s="1268"/>
      <c r="I1938" s="1268"/>
      <c r="J1938" s="1268"/>
      <c r="K1938" s="196">
        <v>1.07</v>
      </c>
      <c r="L1938" s="186"/>
      <c r="M1938" s="50"/>
      <c r="N1938" s="50"/>
      <c r="O1938" s="5"/>
      <c r="P1938" s="9"/>
      <c r="Q1938" s="34"/>
      <c r="R1938" s="5"/>
      <c r="S1938" s="35"/>
    </row>
    <row r="1939" spans="1:19" ht="30" customHeight="1" x14ac:dyDescent="0.35">
      <c r="A1939" s="186"/>
      <c r="B1939" s="1564" t="s">
        <v>974</v>
      </c>
      <c r="C1939" s="1565"/>
      <c r="D1939" s="1566"/>
      <c r="E1939" s="503"/>
      <c r="F1939" s="503"/>
      <c r="G1939" s="503"/>
      <c r="H1939" s="503"/>
      <c r="I1939" s="503"/>
      <c r="J1939" s="503" t="s">
        <v>37</v>
      </c>
      <c r="K1939" s="193">
        <f>+K1936*K1937/K1938</f>
        <v>228.16741558554634</v>
      </c>
      <c r="L1939" s="186" t="s">
        <v>108</v>
      </c>
      <c r="M1939" s="50"/>
      <c r="N1939" s="50"/>
      <c r="O1939" s="5"/>
      <c r="P1939" s="9"/>
      <c r="Q1939" s="34"/>
      <c r="R1939" s="5"/>
      <c r="S1939" s="35"/>
    </row>
    <row r="1940" spans="1:19" ht="30" customHeight="1" thickBot="1" x14ac:dyDescent="0.4">
      <c r="A1940" s="186"/>
      <c r="B1940" s="186"/>
      <c r="C1940" s="503"/>
      <c r="D1940" s="503"/>
      <c r="E1940" s="503"/>
      <c r="F1940" s="503"/>
      <c r="G1940" s="1781" t="s">
        <v>257</v>
      </c>
      <c r="H1940" s="1782"/>
      <c r="I1940" s="1783"/>
      <c r="J1940" s="560">
        <f>VLOOKUP(B1931,'Mil Cost Premiums for PUCs'!$A$4:$R$285,18,FALSE)</f>
        <v>1.1932356231980656</v>
      </c>
      <c r="K1940" s="193">
        <f>+K1939*J1940</f>
        <v>272.25748832971141</v>
      </c>
      <c r="L1940" s="186" t="s">
        <v>108</v>
      </c>
      <c r="M1940" s="50"/>
    </row>
    <row r="1941" spans="1:19" ht="50.25" customHeight="1" thickBot="1" x14ac:dyDescent="0.4">
      <c r="A1941" s="1199"/>
      <c r="B1941" s="1200"/>
      <c r="C1941" s="1200"/>
      <c r="D1941" s="1200"/>
      <c r="E1941" s="1200"/>
      <c r="F1941" s="1200"/>
      <c r="G1941" s="1200"/>
      <c r="H1941" s="1200"/>
      <c r="I1941" s="1200"/>
      <c r="J1941" s="1200"/>
      <c r="K1941" s="1200"/>
      <c r="L1941" s="1201"/>
      <c r="N1941" s="50"/>
      <c r="O1941" s="633"/>
      <c r="P1941" s="9"/>
      <c r="Q1941" s="34"/>
      <c r="R1941" s="5"/>
      <c r="S1941" s="35"/>
    </row>
    <row r="1942" spans="1:19" ht="30" customHeight="1" x14ac:dyDescent="0.35">
      <c r="A1942" s="388" t="s">
        <v>1</v>
      </c>
      <c r="B1942" s="389">
        <v>2241</v>
      </c>
      <c r="C1942" s="1205" t="s">
        <v>975</v>
      </c>
      <c r="D1942" s="1206"/>
      <c r="E1942" s="392" t="s">
        <v>3</v>
      </c>
      <c r="F1942" s="393" t="s">
        <v>108</v>
      </c>
      <c r="G1942" s="390" t="s">
        <v>38</v>
      </c>
      <c r="H1942" s="660">
        <v>46046.307692307601</v>
      </c>
      <c r="I1942" s="392" t="s">
        <v>5</v>
      </c>
      <c r="J1942" s="1207" t="s">
        <v>2481</v>
      </c>
      <c r="K1942" s="1207"/>
      <c r="L1942" s="1208"/>
      <c r="M1942" s="50"/>
      <c r="N1942" s="50"/>
      <c r="O1942" s="633"/>
      <c r="P1942" s="9"/>
      <c r="Q1942" s="34"/>
      <c r="R1942" s="5"/>
      <c r="S1942" s="35"/>
    </row>
    <row r="1943" spans="1:19" ht="30" customHeight="1" x14ac:dyDescent="0.35">
      <c r="A1943" s="494" t="s">
        <v>187</v>
      </c>
      <c r="B1943" s="1280" t="s">
        <v>211</v>
      </c>
      <c r="C1943" s="1281"/>
      <c r="D1943" s="1282"/>
      <c r="E1943" s="566" t="s">
        <v>52</v>
      </c>
      <c r="F1943" s="566" t="s">
        <v>53</v>
      </c>
      <c r="G1943" s="1618" t="s">
        <v>54</v>
      </c>
      <c r="H1943" s="1619"/>
      <c r="I1943" s="878" t="s">
        <v>841</v>
      </c>
      <c r="J1943" s="185" t="s">
        <v>188</v>
      </c>
      <c r="K1943" s="1209" t="s">
        <v>180</v>
      </c>
      <c r="L1943" s="1210"/>
      <c r="M1943" s="50"/>
      <c r="N1943" s="50"/>
      <c r="O1943" s="5"/>
      <c r="P1943" s="9"/>
      <c r="Q1943" s="34"/>
      <c r="R1943" s="5"/>
      <c r="S1943" s="35"/>
    </row>
    <row r="1944" spans="1:19" ht="30" customHeight="1" x14ac:dyDescent="0.35">
      <c r="A1944" s="186" t="s">
        <v>842</v>
      </c>
      <c r="B1944" s="1212" t="s">
        <v>2489</v>
      </c>
      <c r="C1944" s="1213"/>
      <c r="D1944" s="1214"/>
      <c r="E1944" s="194">
        <f>187-3.15</f>
        <v>183.85</v>
      </c>
      <c r="F1944" s="764" t="s">
        <v>108</v>
      </c>
      <c r="G1944" s="764"/>
      <c r="H1944" s="765"/>
      <c r="I1944" s="278"/>
      <c r="J1944" s="186">
        <v>1.1399999999999999</v>
      </c>
      <c r="K1944" s="194">
        <f>+E1944*J1944</f>
        <v>209.58899999999997</v>
      </c>
      <c r="L1944" s="186" t="s">
        <v>108</v>
      </c>
      <c r="M1944" s="50"/>
      <c r="N1944" s="50"/>
      <c r="O1944" s="5"/>
      <c r="P1944" s="9"/>
      <c r="Q1944" s="34"/>
      <c r="R1944" s="5"/>
      <c r="S1944" s="35"/>
    </row>
    <row r="1945" spans="1:19" ht="30" customHeight="1" x14ac:dyDescent="0.35">
      <c r="A1945" s="186" t="s">
        <v>249</v>
      </c>
      <c r="B1945" s="1202" t="s">
        <v>973</v>
      </c>
      <c r="C1945" s="1203"/>
      <c r="D1945" s="1203"/>
      <c r="E1945" s="194">
        <v>4.07</v>
      </c>
      <c r="F1945" s="127" t="s">
        <v>108</v>
      </c>
      <c r="G1945" s="764"/>
      <c r="H1945" s="765"/>
      <c r="I1945" s="278"/>
      <c r="J1945" s="186">
        <v>1.1399999999999999</v>
      </c>
      <c r="K1945" s="194">
        <f>+E1945*J1945</f>
        <v>4.6398000000000001</v>
      </c>
      <c r="L1945" s="186" t="s">
        <v>108</v>
      </c>
      <c r="M1945" s="50"/>
      <c r="N1945" s="50"/>
      <c r="O1945" s="5"/>
      <c r="P1945" s="9"/>
      <c r="Q1945" s="34"/>
      <c r="R1945" s="5"/>
      <c r="S1945" s="35"/>
    </row>
    <row r="1946" spans="1:19" ht="30" customHeight="1" x14ac:dyDescent="0.35">
      <c r="A1946" s="186" t="s">
        <v>249</v>
      </c>
      <c r="B1946" s="1212" t="s">
        <v>844</v>
      </c>
      <c r="C1946" s="1213"/>
      <c r="D1946" s="1214"/>
      <c r="E1946" s="193">
        <f>0.15*E1945</f>
        <v>0.61050000000000004</v>
      </c>
      <c r="F1946" s="127" t="s">
        <v>108</v>
      </c>
      <c r="G1946" s="764"/>
      <c r="H1946" s="765"/>
      <c r="I1946" s="141">
        <f>+E1946</f>
        <v>0.61050000000000004</v>
      </c>
      <c r="J1946" s="186">
        <v>1.1299999999999999</v>
      </c>
      <c r="K1946" s="7">
        <f>+I1946*J1946</f>
        <v>0.68986499999999995</v>
      </c>
      <c r="L1946" s="186" t="s">
        <v>108</v>
      </c>
      <c r="M1946" s="50"/>
      <c r="N1946" s="50"/>
      <c r="O1946" s="14"/>
      <c r="P1946" s="9"/>
      <c r="Q1946" s="34"/>
      <c r="R1946" s="5"/>
      <c r="S1946" s="35"/>
    </row>
    <row r="1947" spans="1:19" ht="30" customHeight="1" x14ac:dyDescent="0.35">
      <c r="A1947" s="186" t="s">
        <v>333</v>
      </c>
      <c r="B1947" s="1212" t="s">
        <v>972</v>
      </c>
      <c r="C1947" s="1213"/>
      <c r="D1947" s="1237"/>
      <c r="E1947" s="11">
        <v>258000</v>
      </c>
      <c r="F1947" s="569" t="s">
        <v>40</v>
      </c>
      <c r="G1947" s="907">
        <v>2</v>
      </c>
      <c r="H1947" s="534" t="s">
        <v>40</v>
      </c>
      <c r="I1947" s="141">
        <f>+E1947*G1947/H1942</f>
        <v>11.206110236851886</v>
      </c>
      <c r="J1947" s="186">
        <v>1.26</v>
      </c>
      <c r="K1947" s="7">
        <f>+I1947*J1947</f>
        <v>14.119698898433377</v>
      </c>
      <c r="L1947" s="186" t="s">
        <v>108</v>
      </c>
      <c r="M1947" s="50"/>
      <c r="N1947" s="50"/>
      <c r="O1947" s="5"/>
      <c r="P1947" s="9"/>
      <c r="Q1947" s="34"/>
      <c r="R1947" s="5"/>
      <c r="S1947" s="35"/>
    </row>
    <row r="1948" spans="1:19" ht="30" customHeight="1" x14ac:dyDescent="0.35">
      <c r="A1948" s="186" t="s">
        <v>268</v>
      </c>
      <c r="B1948" s="1212" t="s">
        <v>2490</v>
      </c>
      <c r="C1948" s="1213"/>
      <c r="D1948" s="1214"/>
      <c r="E1948" s="194">
        <f>(24+37.25)/2</f>
        <v>30.625</v>
      </c>
      <c r="F1948" s="127" t="s">
        <v>108</v>
      </c>
      <c r="G1948" s="117">
        <f>120*8</f>
        <v>960</v>
      </c>
      <c r="H1948" s="554" t="s">
        <v>275</v>
      </c>
      <c r="I1948" s="141">
        <f>+E1948*G1948/H1942</f>
        <v>0.6384876762857471</v>
      </c>
      <c r="J1948" s="186">
        <v>1.22</v>
      </c>
      <c r="K1948" s="7">
        <f>+I1948*J1948</f>
        <v>0.77895496506861139</v>
      </c>
      <c r="L1948" s="186" t="s">
        <v>108</v>
      </c>
      <c r="M1948" s="50"/>
      <c r="N1948" s="50"/>
      <c r="P1948" s="34"/>
      <c r="Q1948" s="5"/>
      <c r="R1948" s="35"/>
    </row>
    <row r="1949" spans="1:19" ht="30" customHeight="1" x14ac:dyDescent="0.35">
      <c r="A1949" s="186" t="s">
        <v>268</v>
      </c>
      <c r="B1949" s="1212" t="s">
        <v>2491</v>
      </c>
      <c r="C1949" s="1213"/>
      <c r="D1949" s="1214"/>
      <c r="E1949" s="194">
        <f>(2020+2850)/2</f>
        <v>2435</v>
      </c>
      <c r="F1949" s="127" t="s">
        <v>40</v>
      </c>
      <c r="G1949" s="117"/>
      <c r="H1949" s="554"/>
      <c r="I1949" s="141">
        <f>8*E1949/H1942</f>
        <v>0.4230523787090596</v>
      </c>
      <c r="J1949" s="186">
        <v>1.22</v>
      </c>
      <c r="K1949" s="7">
        <f>+I1949*J1949</f>
        <v>0.51612390202505265</v>
      </c>
      <c r="L1949" s="186" t="s">
        <v>108</v>
      </c>
      <c r="M1949" s="50"/>
      <c r="N1949" s="50"/>
      <c r="P1949" s="34"/>
      <c r="Q1949" s="5"/>
      <c r="R1949" s="35"/>
    </row>
    <row r="1950" spans="1:19" ht="30" customHeight="1" x14ac:dyDescent="0.35">
      <c r="A1950" s="186" t="s">
        <v>271</v>
      </c>
      <c r="B1950" s="1212" t="s">
        <v>2486</v>
      </c>
      <c r="C1950" s="1213"/>
      <c r="D1950" s="1214"/>
      <c r="E1950" s="194">
        <v>72.38</v>
      </c>
      <c r="F1950" s="127" t="s">
        <v>28</v>
      </c>
      <c r="G1950" s="117">
        <f>8*10</f>
        <v>80</v>
      </c>
      <c r="H1950" s="554" t="s">
        <v>965</v>
      </c>
      <c r="I1950" s="141">
        <f>+E1950*G1950/H1942</f>
        <v>0.12575166805323093</v>
      </c>
      <c r="J1950" s="186">
        <v>1.1200000000000001</v>
      </c>
      <c r="K1950" s="7">
        <f>+I1950*J1950</f>
        <v>0.14084186821961867</v>
      </c>
      <c r="L1950" s="186" t="s">
        <v>108</v>
      </c>
      <c r="M1950" s="50"/>
      <c r="N1950" s="50"/>
      <c r="P1950" s="34"/>
      <c r="Q1950" s="5"/>
      <c r="R1950" s="35"/>
    </row>
    <row r="1951" spans="1:19" ht="30" customHeight="1" x14ac:dyDescent="0.35">
      <c r="A1951" s="186"/>
      <c r="B1951" s="1264"/>
      <c r="C1951" s="1264"/>
      <c r="D1951" s="1264"/>
      <c r="E1951" s="194"/>
      <c r="F1951" s="186"/>
      <c r="G1951" s="503"/>
      <c r="H1951" s="534"/>
      <c r="I1951" s="186"/>
      <c r="J1951" s="186" t="s">
        <v>223</v>
      </c>
      <c r="K1951" s="194">
        <f>SUM(K1944:K1950)</f>
        <v>230.47428463374661</v>
      </c>
      <c r="L1951" s="186" t="s">
        <v>108</v>
      </c>
      <c r="M1951" s="50"/>
      <c r="N1951" s="50"/>
      <c r="O1951" s="5"/>
      <c r="P1951" s="9"/>
      <c r="Q1951" s="34"/>
      <c r="R1951" s="5"/>
      <c r="S1951" s="35"/>
    </row>
    <row r="1952" spans="1:19" ht="30" customHeight="1" x14ac:dyDescent="0.35">
      <c r="A1952" s="186"/>
      <c r="B1952" s="567"/>
      <c r="C1952" s="567"/>
      <c r="D1952" s="567"/>
      <c r="E1952" s="194"/>
      <c r="F1952" s="1215" t="s">
        <v>195</v>
      </c>
      <c r="G1952" s="1273" t="s">
        <v>196</v>
      </c>
      <c r="H1952" s="1273"/>
      <c r="I1952" s="1273"/>
      <c r="J1952" s="1273"/>
      <c r="K1952" s="196">
        <v>1.08</v>
      </c>
      <c r="L1952" s="186"/>
      <c r="M1952" s="50"/>
      <c r="O1952" s="5"/>
      <c r="P1952" s="9"/>
      <c r="Q1952" s="34"/>
      <c r="R1952" s="5"/>
      <c r="S1952" s="35"/>
    </row>
    <row r="1953" spans="1:19" ht="30" customHeight="1" x14ac:dyDescent="0.35">
      <c r="A1953" s="186"/>
      <c r="B1953" s="567"/>
      <c r="C1953" s="567"/>
      <c r="D1953" s="567"/>
      <c r="E1953" s="194"/>
      <c r="F1953" s="1216"/>
      <c r="G1953" s="1268" t="s">
        <v>2477</v>
      </c>
      <c r="H1953" s="1268"/>
      <c r="I1953" s="1268"/>
      <c r="J1953" s="1268"/>
      <c r="K1953" s="196">
        <v>1.05</v>
      </c>
      <c r="L1953" s="186"/>
      <c r="M1953" s="50"/>
      <c r="N1953" s="50"/>
      <c r="O1953" s="5"/>
      <c r="P1953" s="9"/>
      <c r="Q1953" s="34"/>
      <c r="R1953" s="5"/>
      <c r="S1953" s="35"/>
    </row>
    <row r="1954" spans="1:19" ht="30" customHeight="1" x14ac:dyDescent="0.35">
      <c r="A1954" s="186"/>
      <c r="B1954" s="1564"/>
      <c r="C1954" s="1565"/>
      <c r="D1954" s="1565"/>
      <c r="E1954" s="1566"/>
      <c r="F1954" s="503"/>
      <c r="G1954" s="503"/>
      <c r="H1954" s="503"/>
      <c r="I1954" s="503"/>
      <c r="J1954" s="503" t="s">
        <v>37</v>
      </c>
      <c r="K1954" s="193">
        <f>+K1951*K1952/K1953</f>
        <v>237.05926419471081</v>
      </c>
      <c r="L1954" s="186" t="s">
        <v>108</v>
      </c>
      <c r="M1954" s="50"/>
      <c r="N1954" s="50"/>
      <c r="O1954" s="5"/>
      <c r="P1954" s="9"/>
      <c r="Q1954" s="34"/>
      <c r="R1954" s="5"/>
      <c r="S1954" s="35"/>
    </row>
    <row r="1955" spans="1:19" ht="30" customHeight="1" x14ac:dyDescent="0.35">
      <c r="A1955" s="186"/>
      <c r="B1955" s="186"/>
      <c r="C1955" s="503"/>
      <c r="D1955" s="503"/>
      <c r="E1955" s="503"/>
      <c r="F1955" s="503"/>
      <c r="G1955" s="1227" t="s">
        <v>2845</v>
      </c>
      <c r="H1955" s="1227"/>
      <c r="I1955" s="1227"/>
      <c r="J1955" s="560">
        <f>VLOOKUP(B1942,'Mil Cost Premiums for PUCs'!$A$4:$R$285,18,FALSE)</f>
        <v>1.1932356231980656</v>
      </c>
      <c r="K1955" s="193">
        <f>+K1954*J1955</f>
        <v>282.86755884625063</v>
      </c>
      <c r="L1955" s="186" t="s">
        <v>108</v>
      </c>
      <c r="M1955" s="50"/>
      <c r="N1955" s="50"/>
      <c r="O1955" s="5"/>
      <c r="P1955" s="9"/>
      <c r="Q1955" s="34"/>
      <c r="R1955" s="5"/>
      <c r="S1955" s="35"/>
    </row>
    <row r="1956" spans="1:19" ht="30" customHeight="1" thickBot="1" x14ac:dyDescent="0.4">
      <c r="A1956" s="186"/>
      <c r="B1956" s="186"/>
      <c r="C1956" s="503"/>
      <c r="D1956" s="503"/>
      <c r="E1956" s="503"/>
      <c r="F1956" s="503"/>
      <c r="G1956" s="1227" t="s">
        <v>3000</v>
      </c>
      <c r="H1956" s="1227"/>
      <c r="I1956" s="1227"/>
      <c r="J1956" s="560">
        <v>1.0438745311870361</v>
      </c>
      <c r="K1956" s="193">
        <f>+K1955*J1956</f>
        <v>295.27824037865122</v>
      </c>
      <c r="L1956" s="186" t="s">
        <v>108</v>
      </c>
      <c r="M1956" s="50"/>
      <c r="N1956" s="50"/>
      <c r="O1956" s="5"/>
      <c r="P1956" s="9"/>
      <c r="Q1956" s="34"/>
      <c r="R1956" s="5"/>
      <c r="S1956" s="35"/>
    </row>
    <row r="1957" spans="1:19" ht="30" customHeight="1" thickBot="1" x14ac:dyDescent="0.4">
      <c r="A1957" s="1199"/>
      <c r="B1957" s="1200"/>
      <c r="C1957" s="1200"/>
      <c r="D1957" s="1200"/>
      <c r="E1957" s="1200"/>
      <c r="F1957" s="1200"/>
      <c r="G1957" s="1200"/>
      <c r="H1957" s="1200"/>
      <c r="I1957" s="1200"/>
      <c r="J1957" s="1200"/>
      <c r="K1957" s="1200"/>
      <c r="L1957" s="1201"/>
      <c r="M1957" s="96"/>
      <c r="N1957" s="50"/>
      <c r="O1957" s="5"/>
      <c r="P1957" s="9"/>
      <c r="Q1957" s="34"/>
      <c r="R1957" s="5"/>
      <c r="S1957" s="35"/>
    </row>
    <row r="1958" spans="1:19" ht="30" customHeight="1" x14ac:dyDescent="0.35">
      <c r="A1958" s="388" t="s">
        <v>1</v>
      </c>
      <c r="B1958" s="389">
        <v>2242</v>
      </c>
      <c r="C1958" s="1205" t="s">
        <v>977</v>
      </c>
      <c r="D1958" s="1206"/>
      <c r="E1958" s="392" t="s">
        <v>3</v>
      </c>
      <c r="F1958" s="393" t="s">
        <v>108</v>
      </c>
      <c r="G1958" s="390" t="s">
        <v>38</v>
      </c>
      <c r="H1958" s="660">
        <v>1649</v>
      </c>
      <c r="I1958" s="392" t="s">
        <v>5</v>
      </c>
      <c r="J1958" s="1207" t="s">
        <v>2874</v>
      </c>
      <c r="K1958" s="1207"/>
      <c r="L1958" s="1208"/>
      <c r="M1958" s="50"/>
      <c r="N1958" s="50"/>
      <c r="O1958" s="5"/>
      <c r="P1958" s="9"/>
      <c r="Q1958" s="34"/>
      <c r="R1958" s="5"/>
      <c r="S1958" s="35"/>
    </row>
    <row r="1959" spans="1:19" ht="30" customHeight="1" x14ac:dyDescent="0.35">
      <c r="A1959" s="494" t="s">
        <v>187</v>
      </c>
      <c r="B1959" s="1280" t="s">
        <v>211</v>
      </c>
      <c r="C1959" s="1281"/>
      <c r="D1959" s="1282"/>
      <c r="E1959" s="566" t="s">
        <v>52</v>
      </c>
      <c r="F1959" s="566" t="s">
        <v>53</v>
      </c>
      <c r="G1959" s="1219" t="s">
        <v>54</v>
      </c>
      <c r="H1959" s="1220"/>
      <c r="I1959" s="185" t="s">
        <v>188</v>
      </c>
      <c r="J1959" s="185"/>
      <c r="K1959" s="1209" t="s">
        <v>180</v>
      </c>
      <c r="L1959" s="1210"/>
      <c r="M1959" s="50"/>
      <c r="N1959" s="50"/>
      <c r="O1959" s="5"/>
      <c r="P1959" s="9"/>
      <c r="Q1959" s="34"/>
      <c r="R1959" s="5"/>
      <c r="S1959" s="35"/>
    </row>
    <row r="1960" spans="1:19" ht="30" customHeight="1" x14ac:dyDescent="0.35">
      <c r="A1960" s="186" t="s">
        <v>842</v>
      </c>
      <c r="B1960" s="1212" t="s">
        <v>2884</v>
      </c>
      <c r="C1960" s="1213"/>
      <c r="D1960" s="1214"/>
      <c r="E1960" s="194">
        <f>97-3.15</f>
        <v>93.85</v>
      </c>
      <c r="F1960" s="186" t="s">
        <v>108</v>
      </c>
      <c r="G1960" s="186"/>
      <c r="H1960" s="186"/>
      <c r="I1960" s="197">
        <v>1.0900000000000001</v>
      </c>
      <c r="J1960" s="186"/>
      <c r="K1960" s="194">
        <f>+E1960*I1960</f>
        <v>102.29649999999999</v>
      </c>
      <c r="L1960" s="186" t="s">
        <v>108</v>
      </c>
      <c r="M1960" s="50"/>
      <c r="N1960" s="50"/>
      <c r="O1960" s="5"/>
      <c r="P1960" s="9"/>
      <c r="Q1960" s="34"/>
      <c r="R1960" s="5"/>
      <c r="S1960" s="35"/>
    </row>
    <row r="1961" spans="1:19" ht="30" customHeight="1" x14ac:dyDescent="0.35">
      <c r="A1961" s="186" t="s">
        <v>249</v>
      </c>
      <c r="B1961" s="1202" t="s">
        <v>968</v>
      </c>
      <c r="C1961" s="1203"/>
      <c r="D1961" s="1203"/>
      <c r="E1961" s="194">
        <v>5.0999999999999996</v>
      </c>
      <c r="F1961" s="127" t="s">
        <v>108</v>
      </c>
      <c r="G1961" s="503"/>
      <c r="H1961" s="534"/>
      <c r="I1961" s="197">
        <v>1.0900000000000001</v>
      </c>
      <c r="J1961" s="186"/>
      <c r="K1961" s="194">
        <f>+E1961*I1961</f>
        <v>5.5590000000000002</v>
      </c>
      <c r="L1961" s="186" t="s">
        <v>108</v>
      </c>
      <c r="M1961" s="50"/>
      <c r="N1961" s="50"/>
      <c r="O1961" s="5"/>
      <c r="P1961" s="9"/>
      <c r="Q1961" s="34"/>
      <c r="R1961" s="5"/>
      <c r="S1961" s="35"/>
    </row>
    <row r="1962" spans="1:19" ht="30" customHeight="1" x14ac:dyDescent="0.35">
      <c r="A1962" s="186"/>
      <c r="B1962" s="1264"/>
      <c r="C1962" s="1264"/>
      <c r="D1962" s="1264"/>
      <c r="E1962" s="194"/>
      <c r="F1962" s="186"/>
      <c r="G1962" s="503"/>
      <c r="H1962" s="534"/>
      <c r="I1962" s="186"/>
      <c r="J1962" s="186" t="s">
        <v>223</v>
      </c>
      <c r="K1962" s="194">
        <f>SUM(K1960:K1961)</f>
        <v>107.85549999999999</v>
      </c>
      <c r="L1962" s="186" t="s">
        <v>108</v>
      </c>
      <c r="M1962" s="97"/>
      <c r="N1962" s="50"/>
      <c r="O1962" s="5"/>
      <c r="P1962" s="9"/>
      <c r="Q1962" s="34"/>
      <c r="R1962" s="5"/>
      <c r="S1962" s="35"/>
    </row>
    <row r="1963" spans="1:19" ht="30" customHeight="1" x14ac:dyDescent="0.35">
      <c r="A1963" s="186"/>
      <c r="B1963" s="567"/>
      <c r="C1963" s="567"/>
      <c r="D1963" s="567"/>
      <c r="E1963" s="194"/>
      <c r="F1963" s="1215" t="s">
        <v>195</v>
      </c>
      <c r="G1963" s="1273" t="s">
        <v>196</v>
      </c>
      <c r="H1963" s="1273"/>
      <c r="I1963" s="1273"/>
      <c r="J1963" s="1273"/>
      <c r="K1963" s="196">
        <v>1.05</v>
      </c>
      <c r="L1963" s="186"/>
      <c r="M1963" s="50"/>
      <c r="N1963" s="50"/>
      <c r="O1963" s="5"/>
      <c r="P1963" s="9"/>
      <c r="Q1963" s="34"/>
      <c r="R1963" s="5"/>
      <c r="S1963" s="35"/>
    </row>
    <row r="1964" spans="1:19" ht="30" customHeight="1" x14ac:dyDescent="0.35">
      <c r="A1964" s="186"/>
      <c r="B1964" s="567"/>
      <c r="C1964" s="567"/>
      <c r="D1964" s="567"/>
      <c r="E1964" s="194"/>
      <c r="F1964" s="1216"/>
      <c r="G1964" s="1268" t="s">
        <v>2875</v>
      </c>
      <c r="H1964" s="1268"/>
      <c r="I1964" s="1268"/>
      <c r="J1964" s="1268"/>
      <c r="K1964" s="196">
        <v>1.07</v>
      </c>
      <c r="L1964" s="186"/>
      <c r="M1964" s="50"/>
      <c r="N1964" s="50"/>
      <c r="O1964" s="5"/>
      <c r="P1964" s="9"/>
      <c r="Q1964" s="34"/>
      <c r="R1964" s="5"/>
      <c r="S1964" s="35"/>
    </row>
    <row r="1965" spans="1:19" ht="30" customHeight="1" x14ac:dyDescent="0.35">
      <c r="A1965" s="186"/>
      <c r="B1965" s="186"/>
      <c r="C1965" s="503"/>
      <c r="D1965" s="503"/>
      <c r="E1965" s="503"/>
      <c r="F1965" s="503"/>
      <c r="G1965" s="503"/>
      <c r="H1965" s="503"/>
      <c r="I1965" s="503"/>
      <c r="J1965" s="186" t="s">
        <v>37</v>
      </c>
      <c r="K1965" s="193">
        <f>+K1962*K1963/K1964</f>
        <v>105.83950934579438</v>
      </c>
      <c r="L1965" s="186" t="s">
        <v>108</v>
      </c>
      <c r="M1965" s="50"/>
      <c r="N1965" s="64"/>
      <c r="O1965" s="5"/>
      <c r="P1965" s="9"/>
      <c r="Q1965" s="34"/>
      <c r="R1965" s="5"/>
      <c r="S1965" s="35"/>
    </row>
    <row r="1966" spans="1:19" ht="30" customHeight="1" thickBot="1" x14ac:dyDescent="0.4">
      <c r="A1966" s="188"/>
      <c r="B1966" s="1369" t="s">
        <v>978</v>
      </c>
      <c r="C1966" s="1370"/>
      <c r="D1966" s="1371"/>
      <c r="E1966" s="503"/>
      <c r="F1966" s="503"/>
      <c r="G1966" s="1374" t="s">
        <v>257</v>
      </c>
      <c r="H1966" s="1375"/>
      <c r="I1966" s="1376"/>
      <c r="J1966" s="560">
        <f>VLOOKUP(B1958,'Mil Cost Premiums for PUCs'!$A$4:$R$285,18,FALSE)</f>
        <v>1.1199953840399997</v>
      </c>
      <c r="K1966" s="193">
        <f>+K1965*J1966</f>
        <v>118.53976191634811</v>
      </c>
      <c r="L1966" s="186" t="s">
        <v>108</v>
      </c>
      <c r="M1966" s="50"/>
      <c r="N1966" s="64"/>
      <c r="P1966" s="34"/>
      <c r="Q1966" s="5"/>
    </row>
    <row r="1967" spans="1:19" ht="30" customHeight="1" thickBot="1" x14ac:dyDescent="0.4">
      <c r="A1967" s="1199"/>
      <c r="B1967" s="1200"/>
      <c r="C1967" s="1200"/>
      <c r="D1967" s="1200"/>
      <c r="E1967" s="1200"/>
      <c r="F1967" s="1200"/>
      <c r="G1967" s="1200"/>
      <c r="H1967" s="1200"/>
      <c r="I1967" s="1200"/>
      <c r="J1967" s="1200"/>
      <c r="K1967" s="1200"/>
      <c r="L1967" s="1201"/>
      <c r="N1967" s="50"/>
      <c r="P1967" s="34"/>
      <c r="Q1967" s="5"/>
    </row>
    <row r="1968" spans="1:19" ht="30" customHeight="1" x14ac:dyDescent="0.35">
      <c r="A1968" s="388" t="s">
        <v>1</v>
      </c>
      <c r="B1968" s="389">
        <v>2251</v>
      </c>
      <c r="C1968" s="1205" t="s">
        <v>979</v>
      </c>
      <c r="D1968" s="1206"/>
      <c r="E1968" s="392" t="s">
        <v>3</v>
      </c>
      <c r="F1968" s="393" t="s">
        <v>108</v>
      </c>
      <c r="G1968" s="390" t="s">
        <v>38</v>
      </c>
      <c r="H1968" s="660">
        <v>37269.270588235202</v>
      </c>
      <c r="I1968" s="392" t="s">
        <v>5</v>
      </c>
      <c r="J1968" s="1207" t="s">
        <v>2481</v>
      </c>
      <c r="K1968" s="1207"/>
      <c r="L1968" s="1208"/>
      <c r="M1968" s="50"/>
      <c r="N1968" s="50"/>
    </row>
    <row r="1969" spans="1:19" ht="30" customHeight="1" x14ac:dyDescent="0.35">
      <c r="A1969" s="494" t="s">
        <v>187</v>
      </c>
      <c r="B1969" s="1280" t="s">
        <v>211</v>
      </c>
      <c r="C1969" s="1281"/>
      <c r="D1969" s="1282"/>
      <c r="E1969" s="566" t="s">
        <v>52</v>
      </c>
      <c r="F1969" s="566" t="s">
        <v>53</v>
      </c>
      <c r="G1969" s="1219" t="s">
        <v>54</v>
      </c>
      <c r="H1969" s="1220"/>
      <c r="I1969" s="878" t="s">
        <v>841</v>
      </c>
      <c r="J1969" s="185" t="s">
        <v>188</v>
      </c>
      <c r="K1969" s="1209" t="s">
        <v>180</v>
      </c>
      <c r="L1969" s="1210"/>
      <c r="M1969" s="50"/>
      <c r="N1969" s="50"/>
      <c r="P1969" s="34"/>
      <c r="Q1969" s="5"/>
    </row>
    <row r="1970" spans="1:19" ht="30" customHeight="1" x14ac:dyDescent="0.35">
      <c r="A1970" s="186" t="s">
        <v>842</v>
      </c>
      <c r="B1970" s="1389" t="s">
        <v>2482</v>
      </c>
      <c r="C1970" s="1390"/>
      <c r="D1970" s="1391"/>
      <c r="E1970" s="194">
        <f>205-3.15</f>
        <v>201.85</v>
      </c>
      <c r="F1970" s="186" t="s">
        <v>108</v>
      </c>
      <c r="G1970" s="707"/>
      <c r="H1970" s="708"/>
      <c r="I1970" s="58">
        <f>+E1970</f>
        <v>201.85</v>
      </c>
      <c r="J1970" s="186">
        <v>1.1299999999999999</v>
      </c>
      <c r="K1970" s="7">
        <f t="shared" ref="K1970:K1977" si="48">+I1970*J1970</f>
        <v>228.09049999999996</v>
      </c>
      <c r="L1970" s="186" t="s">
        <v>108</v>
      </c>
      <c r="M1970" s="50"/>
      <c r="N1970" s="50"/>
      <c r="P1970" s="34"/>
      <c r="Q1970" s="5"/>
      <c r="R1970" s="35"/>
    </row>
    <row r="1971" spans="1:19" ht="30" customHeight="1" x14ac:dyDescent="0.35">
      <c r="A1971" s="186" t="s">
        <v>249</v>
      </c>
      <c r="B1971" s="1558" t="s">
        <v>2492</v>
      </c>
      <c r="C1971" s="1558"/>
      <c r="D1971" s="1558"/>
      <c r="E1971" s="272">
        <v>4.2300000000000004</v>
      </c>
      <c r="F1971" s="271" t="s">
        <v>108</v>
      </c>
      <c r="G1971" s="117"/>
      <c r="H1971" s="554"/>
      <c r="I1971" s="141">
        <f>+E1971</f>
        <v>4.2300000000000004</v>
      </c>
      <c r="J1971" s="186">
        <v>1.1299999999999999</v>
      </c>
      <c r="K1971" s="7">
        <f t="shared" si="48"/>
        <v>4.7798999999999996</v>
      </c>
      <c r="L1971" s="186" t="s">
        <v>108</v>
      </c>
      <c r="M1971" s="50"/>
      <c r="N1971" s="50"/>
      <c r="P1971" s="34"/>
      <c r="Q1971" s="5"/>
    </row>
    <row r="1972" spans="1:19" ht="30" customHeight="1" x14ac:dyDescent="0.35">
      <c r="A1972" s="186" t="s">
        <v>249</v>
      </c>
      <c r="B1972" s="1212" t="s">
        <v>844</v>
      </c>
      <c r="C1972" s="1213"/>
      <c r="D1972" s="1214"/>
      <c r="E1972" s="193">
        <f>0.15*E1971</f>
        <v>0.63450000000000006</v>
      </c>
      <c r="F1972" s="127" t="s">
        <v>108</v>
      </c>
      <c r="G1972" s="412"/>
      <c r="H1972" s="746"/>
      <c r="I1972" s="141">
        <f>+E1972</f>
        <v>0.63450000000000006</v>
      </c>
      <c r="J1972" s="186">
        <v>1.1299999999999999</v>
      </c>
      <c r="K1972" s="7">
        <f t="shared" si="48"/>
        <v>0.71698499999999998</v>
      </c>
      <c r="L1972" s="186" t="s">
        <v>108</v>
      </c>
      <c r="M1972" s="50"/>
      <c r="N1972" s="50"/>
      <c r="P1972" s="34"/>
      <c r="Q1972" s="5"/>
    </row>
    <row r="1973" spans="1:19" ht="30" customHeight="1" x14ac:dyDescent="0.35">
      <c r="A1973" s="186" t="s">
        <v>249</v>
      </c>
      <c r="B1973" s="1558" t="s">
        <v>845</v>
      </c>
      <c r="C1973" s="1558"/>
      <c r="D1973" s="1558"/>
      <c r="E1973" s="272">
        <f xml:space="preserve"> 0.72+((1.42+2.11)/2)</f>
        <v>2.4849999999999999</v>
      </c>
      <c r="F1973" s="271" t="s">
        <v>108</v>
      </c>
      <c r="G1973" s="117"/>
      <c r="H1973" s="554"/>
      <c r="I1973" s="141">
        <f>+E1973</f>
        <v>2.4849999999999999</v>
      </c>
      <c r="J1973" s="186">
        <v>1.1299999999999999</v>
      </c>
      <c r="K1973" s="7">
        <f t="shared" si="48"/>
        <v>2.8080499999999997</v>
      </c>
      <c r="L1973" s="186" t="s">
        <v>108</v>
      </c>
      <c r="M1973" s="50"/>
      <c r="N1973" s="50"/>
      <c r="O1973" s="5"/>
      <c r="P1973" s="9"/>
      <c r="Q1973" s="34"/>
      <c r="R1973" s="5"/>
      <c r="S1973" s="35"/>
    </row>
    <row r="1974" spans="1:19" ht="30" customHeight="1" x14ac:dyDescent="0.35">
      <c r="A1974" s="186" t="s">
        <v>333</v>
      </c>
      <c r="B1974" s="1212" t="s">
        <v>2493</v>
      </c>
      <c r="C1974" s="1213"/>
      <c r="D1974" s="1214"/>
      <c r="E1974" s="194">
        <v>204000</v>
      </c>
      <c r="F1974" s="127" t="s">
        <v>40</v>
      </c>
      <c r="G1974" s="117"/>
      <c r="H1974" s="554"/>
      <c r="I1974" s="141">
        <f>+E1974*2/H1968</f>
        <v>10.947356724732719</v>
      </c>
      <c r="J1974" s="186">
        <v>1.26</v>
      </c>
      <c r="K1974" s="7">
        <f t="shared" si="48"/>
        <v>13.793669473163227</v>
      </c>
      <c r="L1974" s="186" t="s">
        <v>108</v>
      </c>
      <c r="M1974" s="50"/>
      <c r="N1974" s="50"/>
      <c r="O1974" s="5"/>
      <c r="P1974" s="9"/>
      <c r="Q1974" s="34"/>
      <c r="R1974" s="5"/>
      <c r="S1974" s="35"/>
    </row>
    <row r="1975" spans="1:19" ht="30" customHeight="1" x14ac:dyDescent="0.35">
      <c r="A1975" s="186" t="s">
        <v>268</v>
      </c>
      <c r="B1975" s="1212" t="s">
        <v>2494</v>
      </c>
      <c r="C1975" s="1213"/>
      <c r="D1975" s="1214"/>
      <c r="E1975" s="194">
        <f>(24+37.25)/2</f>
        <v>30.625</v>
      </c>
      <c r="F1975" s="127" t="s">
        <v>108</v>
      </c>
      <c r="G1975" s="117">
        <f>120*6</f>
        <v>720</v>
      </c>
      <c r="H1975" s="554" t="s">
        <v>275</v>
      </c>
      <c r="I1975" s="141">
        <f>+E1975*G1975/H1968</f>
        <v>0.59164023475577565</v>
      </c>
      <c r="J1975" s="186">
        <v>1.22</v>
      </c>
      <c r="K1975" s="7">
        <f t="shared" si="48"/>
        <v>0.72180108640204632</v>
      </c>
      <c r="L1975" s="186" t="s">
        <v>108</v>
      </c>
      <c r="M1975" s="50"/>
      <c r="O1975" s="5"/>
      <c r="P1975" s="9"/>
      <c r="Q1975" s="34"/>
      <c r="R1975" s="5"/>
      <c r="S1975" s="35"/>
    </row>
    <row r="1976" spans="1:19" ht="30" customHeight="1" x14ac:dyDescent="0.35">
      <c r="A1976" s="186" t="s">
        <v>268</v>
      </c>
      <c r="B1976" s="1212" t="s">
        <v>2495</v>
      </c>
      <c r="C1976" s="1213"/>
      <c r="D1976" s="1214"/>
      <c r="E1976" s="194">
        <f>(2020+2850)/2</f>
        <v>2435</v>
      </c>
      <c r="F1976" s="127" t="s">
        <v>40</v>
      </c>
      <c r="G1976" s="117"/>
      <c r="H1976" s="554"/>
      <c r="I1976" s="141">
        <f>6*E1976/H1968</f>
        <v>0.39201196506947311</v>
      </c>
      <c r="J1976" s="186">
        <v>1.22</v>
      </c>
      <c r="K1976" s="7">
        <f t="shared" si="48"/>
        <v>0.47825459738475717</v>
      </c>
      <c r="L1976" s="186" t="s">
        <v>108</v>
      </c>
      <c r="M1976" s="50"/>
      <c r="N1976" s="50"/>
      <c r="O1976" s="5"/>
      <c r="P1976" s="9"/>
      <c r="Q1976" s="34"/>
      <c r="R1976" s="5"/>
      <c r="S1976" s="35"/>
    </row>
    <row r="1977" spans="1:19" ht="30" customHeight="1" x14ac:dyDescent="0.35">
      <c r="A1977" s="186" t="s">
        <v>271</v>
      </c>
      <c r="B1977" s="1212" t="s">
        <v>2486</v>
      </c>
      <c r="C1977" s="1213"/>
      <c r="D1977" s="1214"/>
      <c r="E1977" s="194">
        <v>72.38</v>
      </c>
      <c r="F1977" s="127" t="s">
        <v>28</v>
      </c>
      <c r="G1977" s="117">
        <f>6*10</f>
        <v>60</v>
      </c>
      <c r="H1977" s="554" t="s">
        <v>965</v>
      </c>
      <c r="I1977" s="141">
        <f>+E1977*G1977/H1968</f>
        <v>0.11652495290237561</v>
      </c>
      <c r="J1977" s="186">
        <v>1.1200000000000001</v>
      </c>
      <c r="K1977" s="7">
        <f t="shared" si="48"/>
        <v>0.1305079472506607</v>
      </c>
      <c r="L1977" s="186" t="s">
        <v>108</v>
      </c>
      <c r="M1977" s="50"/>
      <c r="N1977" s="50"/>
      <c r="O1977" s="5"/>
      <c r="P1977" s="9"/>
      <c r="Q1977" s="34"/>
      <c r="R1977" s="5"/>
      <c r="S1977" s="35"/>
    </row>
    <row r="1978" spans="1:19" ht="30" customHeight="1" x14ac:dyDescent="0.35">
      <c r="A1978" s="755"/>
      <c r="B1978" s="1589"/>
      <c r="C1978" s="1589"/>
      <c r="D1978" s="1589"/>
      <c r="E1978" s="194"/>
      <c r="F1978" s="186"/>
      <c r="G1978" s="503"/>
      <c r="H1978" s="534"/>
      <c r="I1978" s="186"/>
      <c r="J1978" s="186" t="s">
        <v>223</v>
      </c>
      <c r="K1978" s="194">
        <f>SUM(K1970:K1977)</f>
        <v>251.51966810420066</v>
      </c>
      <c r="L1978" s="186" t="s">
        <v>108</v>
      </c>
      <c r="M1978" s="50"/>
      <c r="N1978" s="50"/>
      <c r="O1978" s="5"/>
      <c r="P1978" s="9"/>
      <c r="Q1978" s="34"/>
      <c r="R1978" s="5"/>
      <c r="S1978" s="35"/>
    </row>
    <row r="1979" spans="1:19" ht="30" customHeight="1" x14ac:dyDescent="0.35">
      <c r="A1979" s="897"/>
      <c r="B1979" s="908"/>
      <c r="C1979" s="908"/>
      <c r="D1979" s="908"/>
      <c r="E1979" s="138"/>
      <c r="F1979" s="1215" t="s">
        <v>195</v>
      </c>
      <c r="G1979" s="1273" t="s">
        <v>196</v>
      </c>
      <c r="H1979" s="1273"/>
      <c r="I1979" s="1273"/>
      <c r="J1979" s="1273"/>
      <c r="K1979" s="196">
        <v>1.04</v>
      </c>
      <c r="L1979" s="186"/>
      <c r="M1979" s="50"/>
      <c r="N1979" s="50"/>
      <c r="O1979" s="5"/>
      <c r="P1979" s="9"/>
      <c r="Q1979" s="34"/>
      <c r="R1979" s="5"/>
      <c r="S1979" s="35"/>
    </row>
    <row r="1980" spans="1:19" ht="30" customHeight="1" x14ac:dyDescent="0.35">
      <c r="A1980" s="897"/>
      <c r="B1980" s="908"/>
      <c r="C1980" s="908"/>
      <c r="D1980" s="908"/>
      <c r="E1980" s="138"/>
      <c r="F1980" s="1216"/>
      <c r="G1980" s="1268" t="s">
        <v>2477</v>
      </c>
      <c r="H1980" s="1268"/>
      <c r="I1980" s="1268"/>
      <c r="J1980" s="1268"/>
      <c r="K1980" s="196">
        <v>1.05</v>
      </c>
      <c r="L1980" s="186"/>
      <c r="M1980" s="50"/>
      <c r="N1980" s="50"/>
      <c r="O1980" s="5"/>
      <c r="P1980" s="9"/>
      <c r="Q1980" s="34"/>
      <c r="R1980" s="5"/>
      <c r="S1980" s="35"/>
    </row>
    <row r="1981" spans="1:19" ht="30" customHeight="1" x14ac:dyDescent="0.35">
      <c r="A1981" s="897"/>
      <c r="B1981" s="909"/>
      <c r="C1981" s="909"/>
      <c r="D1981" s="909"/>
      <c r="E1981" s="910"/>
      <c r="F1981" s="503"/>
      <c r="G1981" s="503"/>
      <c r="H1981" s="503"/>
      <c r="I1981" s="503"/>
      <c r="J1981" s="186" t="s">
        <v>37</v>
      </c>
      <c r="K1981" s="193">
        <f>+K1978*K1979/K1980</f>
        <v>249.12424269368449</v>
      </c>
      <c r="L1981" s="186" t="s">
        <v>108</v>
      </c>
      <c r="M1981" s="50"/>
      <c r="N1981" s="50"/>
      <c r="O1981" s="5"/>
      <c r="P1981" s="9"/>
      <c r="Q1981" s="34"/>
      <c r="R1981" s="5"/>
      <c r="S1981" s="35"/>
    </row>
    <row r="1982" spans="1:19" ht="30" customHeight="1" x14ac:dyDescent="0.35">
      <c r="A1982" s="904"/>
      <c r="B1982" s="911"/>
      <c r="C1982" s="911"/>
      <c r="D1982" s="911"/>
      <c r="E1982" s="912"/>
      <c r="F1982" s="510"/>
      <c r="G1982" s="1227" t="s">
        <v>2845</v>
      </c>
      <c r="H1982" s="1227"/>
      <c r="I1982" s="1227"/>
      <c r="J1982" s="570">
        <f>VLOOKUP(B1968,'Mil Cost Premiums for PUCs'!$A$4:$R$285,18,FALSE)</f>
        <v>1.1932356231980656</v>
      </c>
      <c r="K1982" s="285">
        <f>+K1981*J1982</f>
        <v>297.26392098434479</v>
      </c>
      <c r="L1982" s="569" t="s">
        <v>108</v>
      </c>
      <c r="M1982" s="50"/>
      <c r="N1982" s="50"/>
      <c r="O1982" s="5"/>
      <c r="P1982" s="9"/>
      <c r="Q1982" s="34"/>
      <c r="R1982" s="5"/>
      <c r="S1982" s="35"/>
    </row>
    <row r="1983" spans="1:19" ht="30" customHeight="1" thickBot="1" x14ac:dyDescent="0.4">
      <c r="A1983" s="904"/>
      <c r="B1983" s="911"/>
      <c r="C1983" s="911"/>
      <c r="D1983" s="911"/>
      <c r="E1983" s="912"/>
      <c r="F1983" s="510"/>
      <c r="G1983" s="1227" t="s">
        <v>3000</v>
      </c>
      <c r="H1983" s="1227"/>
      <c r="I1983" s="1227"/>
      <c r="J1983" s="570">
        <v>1.0438745311870361</v>
      </c>
      <c r="K1983" s="285">
        <f>+K1982*J1983</f>
        <v>310.30623615635307</v>
      </c>
      <c r="L1983" s="569" t="s">
        <v>108</v>
      </c>
      <c r="M1983" s="50"/>
      <c r="N1983" s="50"/>
      <c r="O1983" s="5"/>
      <c r="P1983" s="9"/>
      <c r="Q1983" s="34"/>
      <c r="R1983" s="5"/>
      <c r="S1983" s="35"/>
    </row>
    <row r="1984" spans="1:19" ht="30" customHeight="1" thickBot="1" x14ac:dyDescent="0.4">
      <c r="A1984" s="1199"/>
      <c r="B1984" s="1200"/>
      <c r="C1984" s="1200"/>
      <c r="D1984" s="1200"/>
      <c r="E1984" s="1200"/>
      <c r="F1984" s="1200"/>
      <c r="G1984" s="1200"/>
      <c r="H1984" s="1200"/>
      <c r="I1984" s="1200"/>
      <c r="J1984" s="1200"/>
      <c r="K1984" s="1200"/>
      <c r="L1984" s="1201"/>
      <c r="M1984" s="50"/>
      <c r="N1984" s="50"/>
      <c r="O1984" s="5"/>
      <c r="P1984" s="9"/>
      <c r="Q1984" s="34"/>
      <c r="R1984" s="5"/>
      <c r="S1984" s="35"/>
    </row>
    <row r="1985" spans="1:25" ht="30" customHeight="1" x14ac:dyDescent="0.35">
      <c r="A1985" s="388" t="s">
        <v>1</v>
      </c>
      <c r="B1985" s="389">
        <v>2252</v>
      </c>
      <c r="C1985" s="1205" t="s">
        <v>981</v>
      </c>
      <c r="D1985" s="1206"/>
      <c r="E1985" s="392" t="s">
        <v>3</v>
      </c>
      <c r="F1985" s="393" t="s">
        <v>108</v>
      </c>
      <c r="G1985" s="390" t="s">
        <v>38</v>
      </c>
      <c r="H1985" s="660">
        <v>44872</v>
      </c>
      <c r="I1985" s="392" t="s">
        <v>5</v>
      </c>
      <c r="J1985" s="1207" t="s">
        <v>2874</v>
      </c>
      <c r="K1985" s="1207"/>
      <c r="L1985" s="1208"/>
      <c r="M1985" s="50"/>
      <c r="N1985" s="50"/>
      <c r="O1985" s="5"/>
      <c r="P1985" s="9"/>
      <c r="Q1985" s="34"/>
      <c r="R1985" s="5"/>
      <c r="S1985" s="35"/>
    </row>
    <row r="1986" spans="1:25" ht="30" customHeight="1" x14ac:dyDescent="0.35">
      <c r="A1986" s="494" t="s">
        <v>187</v>
      </c>
      <c r="B1986" s="1280" t="s">
        <v>211</v>
      </c>
      <c r="C1986" s="1281"/>
      <c r="D1986" s="1282"/>
      <c r="E1986" s="566" t="s">
        <v>52</v>
      </c>
      <c r="F1986" s="566" t="s">
        <v>53</v>
      </c>
      <c r="G1986" s="1219" t="s">
        <v>54</v>
      </c>
      <c r="H1986" s="1220"/>
      <c r="I1986" s="185" t="s">
        <v>188</v>
      </c>
      <c r="J1986" s="185"/>
      <c r="K1986" s="1209" t="s">
        <v>180</v>
      </c>
      <c r="L1986" s="1210"/>
      <c r="M1986" s="50"/>
      <c r="N1986" s="50"/>
      <c r="O1986" s="5"/>
      <c r="P1986" s="9"/>
      <c r="Q1986" s="34"/>
      <c r="R1986" s="5"/>
      <c r="S1986" s="35"/>
    </row>
    <row r="1987" spans="1:25" ht="30" customHeight="1" x14ac:dyDescent="0.35">
      <c r="A1987" s="186" t="s">
        <v>842</v>
      </c>
      <c r="B1987" s="1212" t="s">
        <v>2884</v>
      </c>
      <c r="C1987" s="1213"/>
      <c r="D1987" s="1214"/>
      <c r="E1987" s="194">
        <f>97-3.15</f>
        <v>93.85</v>
      </c>
      <c r="F1987" s="186" t="s">
        <v>108</v>
      </c>
      <c r="G1987" s="186"/>
      <c r="H1987" s="186"/>
      <c r="I1987" s="186">
        <v>1.0900000000000001</v>
      </c>
      <c r="J1987" s="186"/>
      <c r="K1987" s="194">
        <f>+E1987*I1987</f>
        <v>102.29649999999999</v>
      </c>
      <c r="L1987" s="186" t="s">
        <v>108</v>
      </c>
      <c r="M1987" s="50"/>
      <c r="N1987" s="50"/>
      <c r="O1987" s="5"/>
      <c r="P1987" s="9"/>
      <c r="Q1987" s="34"/>
      <c r="R1987" s="5"/>
      <c r="S1987" s="35"/>
    </row>
    <row r="1988" spans="1:25" ht="30" customHeight="1" x14ac:dyDescent="0.35">
      <c r="A1988" s="186" t="s">
        <v>249</v>
      </c>
      <c r="B1988" s="1202" t="s">
        <v>982</v>
      </c>
      <c r="C1988" s="1203"/>
      <c r="D1988" s="1203"/>
      <c r="E1988" s="194">
        <v>3.88</v>
      </c>
      <c r="F1988" s="127" t="s">
        <v>108</v>
      </c>
      <c r="G1988" s="503"/>
      <c r="H1988" s="534"/>
      <c r="I1988" s="186">
        <v>1.0900000000000001</v>
      </c>
      <c r="J1988" s="186"/>
      <c r="K1988" s="194">
        <f>+E1988*I1988</f>
        <v>4.2292000000000005</v>
      </c>
      <c r="L1988" s="186" t="s">
        <v>108</v>
      </c>
      <c r="M1988" s="50"/>
      <c r="N1988" s="50"/>
      <c r="O1988" s="5"/>
      <c r="P1988" s="9"/>
      <c r="Q1988" s="34"/>
      <c r="R1988" s="5"/>
      <c r="S1988" s="35"/>
    </row>
    <row r="1989" spans="1:25" ht="30" customHeight="1" x14ac:dyDescent="0.35">
      <c r="A1989" s="186" t="s">
        <v>249</v>
      </c>
      <c r="B1989" s="1212" t="s">
        <v>938</v>
      </c>
      <c r="C1989" s="1213"/>
      <c r="D1989" s="1214"/>
      <c r="E1989" s="194">
        <f>+E1988*0.15</f>
        <v>0.58199999999999996</v>
      </c>
      <c r="F1989" s="127" t="s">
        <v>108</v>
      </c>
      <c r="G1989" s="558"/>
      <c r="H1989" s="193"/>
      <c r="I1989" s="186">
        <v>1.0900000000000001</v>
      </c>
      <c r="J1989" s="186"/>
      <c r="K1989" s="193">
        <f>E1989*I1989</f>
        <v>0.63438000000000005</v>
      </c>
      <c r="L1989" s="186" t="s">
        <v>108</v>
      </c>
      <c r="M1989" s="50"/>
      <c r="O1989" s="5"/>
      <c r="P1989" s="9"/>
      <c r="Q1989" s="34"/>
      <c r="R1989" s="5"/>
      <c r="S1989" s="35"/>
    </row>
    <row r="1990" spans="1:25" ht="30" customHeight="1" x14ac:dyDescent="0.35">
      <c r="A1990" s="186" t="s">
        <v>249</v>
      </c>
      <c r="B1990" s="1212" t="s">
        <v>927</v>
      </c>
      <c r="C1990" s="1213"/>
      <c r="D1990" s="1214"/>
      <c r="E1990" s="193">
        <f xml:space="preserve"> 0.72+((1.42+2.11)/2)</f>
        <v>2.4849999999999999</v>
      </c>
      <c r="F1990" s="127" t="s">
        <v>108</v>
      </c>
      <c r="G1990" s="558"/>
      <c r="H1990" s="193"/>
      <c r="I1990" s="186">
        <v>1.0900000000000001</v>
      </c>
      <c r="J1990" s="186"/>
      <c r="K1990" s="193">
        <f>E1990*I1990</f>
        <v>2.70865</v>
      </c>
      <c r="L1990" s="186" t="s">
        <v>108</v>
      </c>
      <c r="M1990" s="50"/>
      <c r="N1990" s="50"/>
      <c r="O1990" s="5"/>
      <c r="P1990" s="9"/>
      <c r="Q1990" s="34"/>
      <c r="R1990" s="5"/>
      <c r="S1990" s="35"/>
    </row>
    <row r="1991" spans="1:25" ht="30" customHeight="1" x14ac:dyDescent="0.35">
      <c r="A1991" s="186"/>
      <c r="B1991" s="1264"/>
      <c r="C1991" s="1264"/>
      <c r="D1991" s="1264"/>
      <c r="E1991" s="194"/>
      <c r="F1991" s="186"/>
      <c r="G1991" s="503"/>
      <c r="H1991" s="534"/>
      <c r="I1991" s="186"/>
      <c r="J1991" s="186" t="s">
        <v>223</v>
      </c>
      <c r="K1991" s="194">
        <f>SUM(K1987:K1990)</f>
        <v>109.86873</v>
      </c>
      <c r="L1991" s="186" t="s">
        <v>108</v>
      </c>
      <c r="M1991" s="50"/>
      <c r="N1991" s="50"/>
      <c r="O1991" s="5"/>
      <c r="P1991" s="9"/>
      <c r="Q1991" s="34"/>
      <c r="R1991" s="5"/>
      <c r="S1991" s="35"/>
    </row>
    <row r="1992" spans="1:25" ht="30" customHeight="1" x14ac:dyDescent="0.35">
      <c r="A1992" s="186"/>
      <c r="B1992" s="567"/>
      <c r="C1992" s="567"/>
      <c r="D1992" s="567"/>
      <c r="E1992" s="194"/>
      <c r="F1992" s="1215" t="s">
        <v>195</v>
      </c>
      <c r="G1992" s="1273" t="s">
        <v>196</v>
      </c>
      <c r="H1992" s="1273"/>
      <c r="I1992" s="1273"/>
      <c r="J1992" s="1273"/>
      <c r="K1992" s="196">
        <v>1.05</v>
      </c>
      <c r="L1992" s="186"/>
      <c r="M1992" s="50"/>
      <c r="N1992" s="50"/>
      <c r="O1992" s="5"/>
      <c r="P1992" s="9"/>
      <c r="Q1992" s="34"/>
      <c r="R1992" s="5"/>
      <c r="S1992" s="35"/>
    </row>
    <row r="1993" spans="1:25" ht="30" customHeight="1" x14ac:dyDescent="0.35">
      <c r="A1993" s="186"/>
      <c r="B1993" s="567"/>
      <c r="C1993" s="567"/>
      <c r="D1993" s="567"/>
      <c r="E1993" s="194"/>
      <c r="F1993" s="1216"/>
      <c r="G1993" s="1268" t="s">
        <v>2875</v>
      </c>
      <c r="H1993" s="1268"/>
      <c r="I1993" s="1268"/>
      <c r="J1993" s="1268"/>
      <c r="K1993" s="196">
        <v>1.07</v>
      </c>
      <c r="L1993" s="186"/>
      <c r="M1993" s="50"/>
      <c r="N1993" s="50"/>
      <c r="O1993" s="5"/>
      <c r="P1993" s="9"/>
      <c r="Q1993" s="34"/>
      <c r="R1993" s="5"/>
      <c r="S1993" s="35"/>
    </row>
    <row r="1994" spans="1:25" s="396" customFormat="1" ht="30" customHeight="1" x14ac:dyDescent="0.35">
      <c r="A1994" s="271"/>
      <c r="B1994" s="271"/>
      <c r="C1994" s="278"/>
      <c r="D1994" s="278"/>
      <c r="E1994" s="278"/>
      <c r="F1994" s="913"/>
      <c r="G1994" s="503"/>
      <c r="H1994" s="503"/>
      <c r="I1994" s="503"/>
      <c r="J1994" s="503" t="s">
        <v>37</v>
      </c>
      <c r="K1994" s="193">
        <f>+K1991*K1992/K1993</f>
        <v>107.81510887850467</v>
      </c>
      <c r="L1994" s="186" t="s">
        <v>108</v>
      </c>
      <c r="M1994" s="50"/>
      <c r="N1994" s="50"/>
      <c r="O1994" s="5"/>
      <c r="P1994" s="9"/>
      <c r="Q1994" s="34"/>
      <c r="R1994" s="5"/>
      <c r="S1994" s="35"/>
      <c r="T1994" s="9"/>
      <c r="U1994" s="9"/>
      <c r="V1994" s="9"/>
      <c r="W1994" s="9"/>
      <c r="X1994" s="9"/>
      <c r="Y1994" s="9"/>
    </row>
    <row r="1995" spans="1:25" ht="30" customHeight="1" thickBot="1" x14ac:dyDescent="0.4">
      <c r="A1995" s="271"/>
      <c r="B1995" s="278"/>
      <c r="C1995" s="278"/>
      <c r="D1995" s="278"/>
      <c r="E1995" s="278"/>
      <c r="F1995" s="913"/>
      <c r="G1995" s="1374" t="s">
        <v>257</v>
      </c>
      <c r="H1995" s="1375"/>
      <c r="I1995" s="1376"/>
      <c r="J1995" s="560">
        <f>VLOOKUP(B1985,'Mil Cost Premiums for PUCs'!$A$4:$R$285,18,FALSE)</f>
        <v>1.1932356231980656</v>
      </c>
      <c r="K1995" s="193">
        <f>+K1994*J1995</f>
        <v>128.64882863280982</v>
      </c>
      <c r="L1995" s="186" t="s">
        <v>108</v>
      </c>
      <c r="M1995" s="50"/>
      <c r="N1995" s="50"/>
      <c r="O1995" s="5"/>
      <c r="P1995" s="9"/>
      <c r="Q1995" s="34"/>
      <c r="R1995" s="5"/>
      <c r="S1995" s="35"/>
      <c r="X1995" s="396"/>
      <c r="Y1995" s="396"/>
    </row>
    <row r="1996" spans="1:25" s="396" customFormat="1" ht="30" customHeight="1" thickBot="1" x14ac:dyDescent="0.4">
      <c r="A1996" s="1199"/>
      <c r="B1996" s="1200"/>
      <c r="C1996" s="1200"/>
      <c r="D1996" s="1200"/>
      <c r="E1996" s="1200"/>
      <c r="F1996" s="1200"/>
      <c r="G1996" s="1200"/>
      <c r="H1996" s="1200"/>
      <c r="I1996" s="1200"/>
      <c r="J1996" s="1200"/>
      <c r="K1996" s="1200"/>
      <c r="L1996" s="1201"/>
      <c r="M1996" s="11"/>
      <c r="N1996" s="50"/>
      <c r="O1996" s="64"/>
      <c r="P1996" s="9"/>
      <c r="Q1996" s="34"/>
      <c r="R1996" s="5"/>
      <c r="S1996" s="35"/>
      <c r="T1996" s="9"/>
      <c r="U1996" s="9"/>
      <c r="V1996" s="9"/>
      <c r="W1996" s="9"/>
    </row>
    <row r="1997" spans="1:25" s="396" customFormat="1" ht="30" customHeight="1" x14ac:dyDescent="0.35">
      <c r="A1997" s="388" t="s">
        <v>1</v>
      </c>
      <c r="B1997" s="389">
        <v>2261</v>
      </c>
      <c r="C1997" s="1205" t="s">
        <v>983</v>
      </c>
      <c r="D1997" s="1206"/>
      <c r="E1997" s="392" t="s">
        <v>3</v>
      </c>
      <c r="F1997" s="393" t="s">
        <v>108</v>
      </c>
      <c r="G1997" s="390" t="s">
        <v>38</v>
      </c>
      <c r="H1997" s="660">
        <v>7689.2428377230199</v>
      </c>
      <c r="I1997" s="392" t="s">
        <v>5</v>
      </c>
      <c r="J1997" s="1207" t="s">
        <v>2481</v>
      </c>
      <c r="K1997" s="1207"/>
      <c r="L1997" s="1208"/>
      <c r="M1997" s="50"/>
      <c r="N1997" s="50"/>
      <c r="O1997" s="64"/>
      <c r="P1997" s="9"/>
      <c r="Q1997" s="34"/>
      <c r="R1997" s="5"/>
      <c r="S1997" s="35"/>
      <c r="T1997" s="9"/>
      <c r="U1997" s="9"/>
      <c r="V1997" s="9"/>
      <c r="W1997" s="9"/>
    </row>
    <row r="1998" spans="1:25" ht="30" customHeight="1" x14ac:dyDescent="0.35">
      <c r="A1998" s="494" t="s">
        <v>187</v>
      </c>
      <c r="B1998" s="1280" t="s">
        <v>211</v>
      </c>
      <c r="C1998" s="1281"/>
      <c r="D1998" s="1282"/>
      <c r="E1998" s="566" t="s">
        <v>52</v>
      </c>
      <c r="F1998" s="566" t="s">
        <v>53</v>
      </c>
      <c r="G1998" s="1219" t="s">
        <v>54</v>
      </c>
      <c r="H1998" s="1220"/>
      <c r="I1998" s="878" t="s">
        <v>841</v>
      </c>
      <c r="J1998" s="185" t="s">
        <v>188</v>
      </c>
      <c r="K1998" s="1209" t="s">
        <v>180</v>
      </c>
      <c r="L1998" s="1210"/>
      <c r="M1998" s="50"/>
      <c r="O1998" s="64"/>
      <c r="P1998" s="59"/>
      <c r="Q1998" s="34"/>
      <c r="R1998" s="5"/>
      <c r="S1998" s="35"/>
    </row>
    <row r="1999" spans="1:25" s="396" customFormat="1" ht="30" customHeight="1" x14ac:dyDescent="0.35">
      <c r="A1999" s="186" t="s">
        <v>842</v>
      </c>
      <c r="B1999" s="1389" t="s">
        <v>2482</v>
      </c>
      <c r="C1999" s="1390"/>
      <c r="D1999" s="1391"/>
      <c r="E1999" s="194">
        <f>205-3.15</f>
        <v>201.85</v>
      </c>
      <c r="F1999" s="186" t="s">
        <v>108</v>
      </c>
      <c r="G1999" s="707"/>
      <c r="H1999" s="708"/>
      <c r="I1999" s="58">
        <f>+E1999</f>
        <v>201.85</v>
      </c>
      <c r="J1999" s="186">
        <v>1.1299999999999999</v>
      </c>
      <c r="K1999" s="7">
        <f t="shared" ref="K1999:K2006" si="49">+I1999*J1999</f>
        <v>228.09049999999996</v>
      </c>
      <c r="L1999" s="186" t="s">
        <v>108</v>
      </c>
      <c r="M1999" s="50"/>
      <c r="N1999" s="50"/>
      <c r="O1999" s="5"/>
      <c r="P1999" s="9"/>
      <c r="Q1999" s="34"/>
      <c r="R1999" s="5"/>
      <c r="S1999" s="35"/>
      <c r="T1999" s="9"/>
      <c r="U1999" s="9"/>
      <c r="V1999" s="9"/>
      <c r="W1999" s="9"/>
      <c r="X1999" s="9"/>
      <c r="Y1999" s="9"/>
    </row>
    <row r="2000" spans="1:25" ht="30" customHeight="1" x14ac:dyDescent="0.35">
      <c r="A2000" s="186" t="s">
        <v>249</v>
      </c>
      <c r="B2000" s="1558" t="s">
        <v>256</v>
      </c>
      <c r="C2000" s="1558"/>
      <c r="D2000" s="1558"/>
      <c r="E2000" s="272">
        <v>5.38</v>
      </c>
      <c r="F2000" s="271" t="s">
        <v>108</v>
      </c>
      <c r="G2000" s="117"/>
      <c r="H2000" s="554"/>
      <c r="I2000" s="141">
        <f>+E2000</f>
        <v>5.38</v>
      </c>
      <c r="J2000" s="186">
        <v>1.1299999999999999</v>
      </c>
      <c r="K2000" s="7">
        <f t="shared" si="49"/>
        <v>6.0793999999999997</v>
      </c>
      <c r="L2000" s="186" t="s">
        <v>108</v>
      </c>
      <c r="M2000" s="50"/>
      <c r="N2000" s="50"/>
      <c r="O2000" s="5"/>
      <c r="P2000" s="9"/>
      <c r="Q2000" s="34"/>
      <c r="R2000" s="5"/>
      <c r="S2000" s="35"/>
    </row>
    <row r="2001" spans="1:25" ht="30" customHeight="1" x14ac:dyDescent="0.35">
      <c r="A2001" s="186" t="s">
        <v>249</v>
      </c>
      <c r="B2001" s="1212" t="s">
        <v>844</v>
      </c>
      <c r="C2001" s="1213"/>
      <c r="D2001" s="1214"/>
      <c r="E2001" s="193">
        <f>0.15*E2000</f>
        <v>0.80699999999999994</v>
      </c>
      <c r="F2001" s="127" t="s">
        <v>108</v>
      </c>
      <c r="G2001" s="412"/>
      <c r="H2001" s="746"/>
      <c r="I2001" s="141">
        <f>+E2001</f>
        <v>0.80699999999999994</v>
      </c>
      <c r="J2001" s="186">
        <v>1.1299999999999999</v>
      </c>
      <c r="K2001" s="7">
        <f t="shared" si="49"/>
        <v>0.91190999999999989</v>
      </c>
      <c r="L2001" s="186" t="s">
        <v>108</v>
      </c>
      <c r="M2001" s="50"/>
      <c r="N2001" s="50"/>
      <c r="O2001" s="5"/>
      <c r="P2001" s="9"/>
      <c r="Q2001" s="34"/>
      <c r="R2001" s="5"/>
      <c r="S2001" s="35"/>
    </row>
    <row r="2002" spans="1:25" ht="30" customHeight="1" x14ac:dyDescent="0.35">
      <c r="A2002" s="186" t="s">
        <v>249</v>
      </c>
      <c r="B2002" s="1558" t="s">
        <v>845</v>
      </c>
      <c r="C2002" s="1558"/>
      <c r="D2002" s="1558"/>
      <c r="E2002" s="272">
        <f xml:space="preserve"> 0.72+((1.42+2.11)/2)</f>
        <v>2.4849999999999999</v>
      </c>
      <c r="F2002" s="271" t="s">
        <v>108</v>
      </c>
      <c r="G2002" s="117"/>
      <c r="H2002" s="554"/>
      <c r="I2002" s="141">
        <f>+E2002</f>
        <v>2.4849999999999999</v>
      </c>
      <c r="J2002" s="186">
        <v>1.1299999999999999</v>
      </c>
      <c r="K2002" s="7">
        <f t="shared" si="49"/>
        <v>2.8080499999999997</v>
      </c>
      <c r="L2002" s="186" t="s">
        <v>108</v>
      </c>
      <c r="M2002" s="50"/>
      <c r="N2002" s="50"/>
      <c r="O2002" s="5"/>
      <c r="P2002" s="9"/>
      <c r="Q2002" s="34"/>
      <c r="R2002" s="5"/>
      <c r="S2002" s="35"/>
    </row>
    <row r="2003" spans="1:25" ht="30" customHeight="1" x14ac:dyDescent="0.35">
      <c r="A2003" s="186" t="s">
        <v>333</v>
      </c>
      <c r="B2003" s="1212" t="s">
        <v>970</v>
      </c>
      <c r="C2003" s="1213"/>
      <c r="D2003" s="1214"/>
      <c r="E2003" s="194">
        <v>204000</v>
      </c>
      <c r="F2003" s="127" t="s">
        <v>40</v>
      </c>
      <c r="G2003" s="117"/>
      <c r="H2003" s="554"/>
      <c r="I2003" s="141">
        <f>+E2003/H1997</f>
        <v>26.530570604323582</v>
      </c>
      <c r="J2003" s="186">
        <v>1.26</v>
      </c>
      <c r="K2003" s="7">
        <f t="shared" si="49"/>
        <v>33.428518961447715</v>
      </c>
      <c r="L2003" s="186" t="s">
        <v>108</v>
      </c>
      <c r="M2003" s="97"/>
      <c r="N2003" s="50"/>
      <c r="O2003" s="5"/>
      <c r="P2003" s="9"/>
      <c r="Q2003" s="34"/>
      <c r="R2003" s="5"/>
      <c r="S2003" s="35"/>
    </row>
    <row r="2004" spans="1:25" ht="30" customHeight="1" x14ac:dyDescent="0.35">
      <c r="A2004" s="186" t="s">
        <v>268</v>
      </c>
      <c r="B2004" s="1212" t="s">
        <v>2487</v>
      </c>
      <c r="C2004" s="1213"/>
      <c r="D2004" s="1214"/>
      <c r="E2004" s="194">
        <f>(24+37.25)/2</f>
        <v>30.625</v>
      </c>
      <c r="F2004" s="127" t="s">
        <v>108</v>
      </c>
      <c r="G2004" s="117">
        <f>120*4</f>
        <v>480</v>
      </c>
      <c r="H2004" s="554" t="s">
        <v>275</v>
      </c>
      <c r="I2004" s="141">
        <f>+E2004*G2004/H1997</f>
        <v>1.9117617053115523</v>
      </c>
      <c r="J2004" s="186">
        <v>1.22</v>
      </c>
      <c r="K2004" s="7">
        <f t="shared" si="49"/>
        <v>2.3323492804800936</v>
      </c>
      <c r="L2004" s="186" t="s">
        <v>108</v>
      </c>
      <c r="M2004" s="50"/>
      <c r="N2004" s="96"/>
      <c r="O2004" s="5"/>
      <c r="P2004" s="9"/>
      <c r="Q2004" s="34"/>
      <c r="R2004" s="5"/>
      <c r="S2004" s="35"/>
      <c r="X2004" s="396"/>
      <c r="Y2004" s="396"/>
    </row>
    <row r="2005" spans="1:25" s="396" customFormat="1" ht="30" customHeight="1" x14ac:dyDescent="0.35">
      <c r="A2005" s="186" t="s">
        <v>268</v>
      </c>
      <c r="B2005" s="1212" t="s">
        <v>2488</v>
      </c>
      <c r="C2005" s="1213"/>
      <c r="D2005" s="1214"/>
      <c r="E2005" s="194">
        <f>(2020+2850)/2</f>
        <v>2435</v>
      </c>
      <c r="F2005" s="127" t="s">
        <v>40</v>
      </c>
      <c r="G2005" s="117"/>
      <c r="H2005" s="554"/>
      <c r="I2005" s="141">
        <f>4*E2005/H1997</f>
        <v>1.2667046945397633</v>
      </c>
      <c r="J2005" s="186">
        <v>1.22</v>
      </c>
      <c r="K2005" s="7">
        <f t="shared" si="49"/>
        <v>1.5453797273385113</v>
      </c>
      <c r="L2005" s="186" t="s">
        <v>108</v>
      </c>
      <c r="M2005" s="50"/>
      <c r="N2005" s="50"/>
      <c r="O2005" s="5"/>
      <c r="P2005" s="9"/>
      <c r="Q2005" s="34"/>
      <c r="R2005" s="5"/>
      <c r="S2005" s="35"/>
      <c r="T2005" s="9"/>
      <c r="U2005" s="9"/>
      <c r="V2005" s="9"/>
      <c r="W2005" s="9"/>
      <c r="X2005" s="9"/>
      <c r="Y2005" s="9"/>
    </row>
    <row r="2006" spans="1:25" ht="30" customHeight="1" x14ac:dyDescent="0.35">
      <c r="A2006" s="186" t="s">
        <v>271</v>
      </c>
      <c r="B2006" s="1212" t="s">
        <v>2486</v>
      </c>
      <c r="C2006" s="1213"/>
      <c r="D2006" s="1214"/>
      <c r="E2006" s="194">
        <v>72.38</v>
      </c>
      <c r="F2006" s="127" t="s">
        <v>28</v>
      </c>
      <c r="G2006" s="117">
        <f>4*10</f>
        <v>40</v>
      </c>
      <c r="H2006" s="554" t="s">
        <v>965</v>
      </c>
      <c r="I2006" s="141">
        <f>+E2006*G2006/H1997</f>
        <v>0.37652601967469429</v>
      </c>
      <c r="J2006" s="186">
        <v>1.1200000000000001</v>
      </c>
      <c r="K2006" s="7">
        <f t="shared" si="49"/>
        <v>0.42170914203565762</v>
      </c>
      <c r="L2006" s="186" t="s">
        <v>108</v>
      </c>
      <c r="M2006" s="50"/>
      <c r="N2006" s="50"/>
      <c r="O2006" s="5"/>
      <c r="P2006" s="9"/>
      <c r="Q2006" s="34"/>
      <c r="R2006" s="5"/>
      <c r="S2006" s="35"/>
      <c r="X2006" s="396"/>
      <c r="Y2006" s="396"/>
    </row>
    <row r="2007" spans="1:25" s="396" customFormat="1" ht="30" customHeight="1" x14ac:dyDescent="0.35">
      <c r="A2007" s="186"/>
      <c r="B2007" s="1264"/>
      <c r="C2007" s="1264"/>
      <c r="D2007" s="1264"/>
      <c r="E2007" s="194"/>
      <c r="F2007" s="186"/>
      <c r="G2007" s="503"/>
      <c r="H2007" s="534"/>
      <c r="I2007" s="186"/>
      <c r="J2007" s="186" t="s">
        <v>223</v>
      </c>
      <c r="K2007" s="194">
        <f>SUM(K1999:K2006)</f>
        <v>275.61781711130197</v>
      </c>
      <c r="L2007" s="186" t="s">
        <v>108</v>
      </c>
      <c r="M2007" s="50"/>
      <c r="N2007" s="50"/>
      <c r="O2007" s="5"/>
      <c r="P2007" s="9"/>
      <c r="Q2007" s="34"/>
      <c r="R2007" s="5"/>
      <c r="S2007" s="35"/>
      <c r="T2007" s="9"/>
      <c r="U2007" s="9"/>
      <c r="V2007" s="9"/>
      <c r="W2007" s="9"/>
    </row>
    <row r="2008" spans="1:25" s="396" customFormat="1" ht="30" customHeight="1" x14ac:dyDescent="0.35">
      <c r="A2008" s="186"/>
      <c r="B2008" s="567"/>
      <c r="C2008" s="567"/>
      <c r="D2008" s="567"/>
      <c r="E2008" s="194"/>
      <c r="F2008" s="1215" t="s">
        <v>195</v>
      </c>
      <c r="G2008" s="1273" t="s">
        <v>196</v>
      </c>
      <c r="H2008" s="1273"/>
      <c r="I2008" s="1273"/>
      <c r="J2008" s="1273"/>
      <c r="K2008" s="196">
        <v>1.04</v>
      </c>
      <c r="L2008" s="186"/>
      <c r="M2008" s="50"/>
      <c r="N2008" s="50"/>
      <c r="O2008" s="5"/>
      <c r="P2008" s="9"/>
      <c r="Q2008" s="34"/>
      <c r="R2008" s="5"/>
      <c r="S2008" s="35"/>
      <c r="T2008" s="9"/>
      <c r="U2008" s="9"/>
      <c r="V2008" s="9"/>
      <c r="W2008" s="9"/>
    </row>
    <row r="2009" spans="1:25" s="396" customFormat="1" ht="30" customHeight="1" x14ac:dyDescent="0.35">
      <c r="A2009" s="186"/>
      <c r="B2009" s="567"/>
      <c r="C2009" s="567"/>
      <c r="D2009" s="567"/>
      <c r="E2009" s="194"/>
      <c r="F2009" s="1216"/>
      <c r="G2009" s="1268" t="s">
        <v>2477</v>
      </c>
      <c r="H2009" s="1268"/>
      <c r="I2009" s="1268"/>
      <c r="J2009" s="1268"/>
      <c r="K2009" s="196">
        <v>1.05</v>
      </c>
      <c r="L2009" s="186"/>
      <c r="M2009" s="50"/>
      <c r="N2009" s="50"/>
      <c r="O2009" s="5"/>
      <c r="P2009" s="9"/>
      <c r="Q2009" s="34"/>
      <c r="R2009" s="5"/>
      <c r="S2009" s="35"/>
      <c r="T2009" s="9"/>
      <c r="U2009" s="9"/>
      <c r="V2009" s="9"/>
      <c r="W2009" s="9"/>
      <c r="X2009" s="9"/>
      <c r="Y2009" s="9"/>
    </row>
    <row r="2010" spans="1:25" ht="30" customHeight="1" x14ac:dyDescent="0.35">
      <c r="A2010" s="186"/>
      <c r="B2010" s="1567"/>
      <c r="C2010" s="1567"/>
      <c r="D2010" s="1567"/>
      <c r="E2010" s="503"/>
      <c r="F2010" s="503"/>
      <c r="G2010" s="503"/>
      <c r="H2010" s="503"/>
      <c r="I2010" s="503"/>
      <c r="J2010" s="503" t="s">
        <v>37</v>
      </c>
      <c r="K2010" s="193">
        <f>+K2007*K2008/K2009</f>
        <v>272.99288551976576</v>
      </c>
      <c r="L2010" s="186" t="s">
        <v>108</v>
      </c>
      <c r="M2010" s="50"/>
      <c r="N2010" s="50"/>
      <c r="O2010" s="5"/>
      <c r="P2010" s="9"/>
      <c r="Q2010" s="34"/>
      <c r="R2010" s="5"/>
      <c r="S2010" s="35"/>
    </row>
    <row r="2011" spans="1:25" ht="30" customHeight="1" thickBot="1" x14ac:dyDescent="0.4">
      <c r="A2011" s="186"/>
      <c r="B2011" s="1231"/>
      <c r="C2011" s="1232"/>
      <c r="D2011" s="1233"/>
      <c r="E2011" s="503"/>
      <c r="F2011" s="503"/>
      <c r="G2011" s="1227" t="s">
        <v>257</v>
      </c>
      <c r="H2011" s="1227"/>
      <c r="I2011" s="1227"/>
      <c r="J2011" s="560">
        <f>VLOOKUP(B1997,'Mil Cost Premiums for PUCs'!$A$4:$R$285,18,FALSE)</f>
        <v>1.1932356231980656</v>
      </c>
      <c r="K2011" s="193">
        <f>+K2010*J2011</f>
        <v>325.7448358818159</v>
      </c>
      <c r="L2011" s="186" t="s">
        <v>108</v>
      </c>
      <c r="M2011" s="50"/>
      <c r="O2011" s="5"/>
      <c r="P2011" s="9"/>
      <c r="Q2011" s="34"/>
      <c r="R2011" s="5"/>
      <c r="S2011" s="35"/>
    </row>
    <row r="2012" spans="1:25" ht="30" customHeight="1" thickBot="1" x14ac:dyDescent="0.4">
      <c r="A2012" s="186"/>
      <c r="B2012" s="1231"/>
      <c r="C2012" s="1232"/>
      <c r="D2012" s="1233"/>
      <c r="E2012" s="503"/>
      <c r="F2012" s="503"/>
      <c r="G2012" s="1227" t="s">
        <v>3000</v>
      </c>
      <c r="H2012" s="1227"/>
      <c r="I2012" s="1227"/>
      <c r="J2012" s="560">
        <v>1.0438745311870361</v>
      </c>
      <c r="K2012" s="193">
        <f>+K2011*J2012</f>
        <v>340.0367378427286</v>
      </c>
      <c r="L2012" s="186" t="s">
        <v>108</v>
      </c>
      <c r="M2012" s="50"/>
      <c r="N2012" s="50"/>
      <c r="O2012" s="5"/>
      <c r="P2012" s="9"/>
      <c r="Q2012" s="34"/>
      <c r="R2012" s="5"/>
      <c r="S2012" s="35"/>
    </row>
    <row r="2013" spans="1:25" ht="30" customHeight="1" thickBot="1" x14ac:dyDescent="0.4">
      <c r="A2013" s="1199"/>
      <c r="B2013" s="1200"/>
      <c r="C2013" s="1200"/>
      <c r="D2013" s="1200"/>
      <c r="E2013" s="1200"/>
      <c r="F2013" s="1200"/>
      <c r="G2013" s="1200"/>
      <c r="H2013" s="1200"/>
      <c r="I2013" s="1200"/>
      <c r="J2013" s="1200"/>
      <c r="K2013" s="1200"/>
      <c r="L2013" s="1201"/>
      <c r="M2013" s="50"/>
      <c r="N2013" s="50"/>
      <c r="O2013" s="5"/>
      <c r="P2013" s="9"/>
      <c r="Q2013" s="34"/>
      <c r="R2013" s="5"/>
      <c r="S2013" s="35"/>
    </row>
    <row r="2014" spans="1:25" ht="30" customHeight="1" x14ac:dyDescent="0.35">
      <c r="A2014" s="388" t="s">
        <v>1</v>
      </c>
      <c r="B2014" s="389">
        <v>2262</v>
      </c>
      <c r="C2014" s="1205" t="s">
        <v>985</v>
      </c>
      <c r="D2014" s="1206"/>
      <c r="E2014" s="392" t="s">
        <v>3</v>
      </c>
      <c r="F2014" s="393" t="s">
        <v>108</v>
      </c>
      <c r="G2014" s="390" t="s">
        <v>38</v>
      </c>
      <c r="H2014" s="660">
        <v>3112</v>
      </c>
      <c r="I2014" s="392" t="s">
        <v>5</v>
      </c>
      <c r="J2014" s="1207" t="s">
        <v>2874</v>
      </c>
      <c r="K2014" s="1207"/>
      <c r="L2014" s="1208"/>
      <c r="M2014" s="50"/>
      <c r="N2014" s="50"/>
      <c r="O2014" s="5"/>
      <c r="P2014" s="9"/>
      <c r="Q2014" s="34"/>
      <c r="R2014" s="5"/>
      <c r="S2014" s="35"/>
    </row>
    <row r="2015" spans="1:25" ht="30" customHeight="1" x14ac:dyDescent="0.35">
      <c r="A2015" s="494" t="s">
        <v>187</v>
      </c>
      <c r="B2015" s="1280" t="s">
        <v>211</v>
      </c>
      <c r="C2015" s="1281"/>
      <c r="D2015" s="1282"/>
      <c r="E2015" s="566" t="s">
        <v>52</v>
      </c>
      <c r="F2015" s="566" t="s">
        <v>53</v>
      </c>
      <c r="G2015" s="1219" t="s">
        <v>54</v>
      </c>
      <c r="H2015" s="1220"/>
      <c r="I2015" s="185" t="s">
        <v>188</v>
      </c>
      <c r="J2015" s="185"/>
      <c r="K2015" s="1209" t="s">
        <v>180</v>
      </c>
      <c r="L2015" s="1210"/>
      <c r="M2015" s="50"/>
      <c r="N2015" s="50"/>
      <c r="O2015" s="5"/>
      <c r="P2015" s="9"/>
      <c r="Q2015" s="34"/>
      <c r="R2015" s="5"/>
      <c r="S2015" s="35"/>
    </row>
    <row r="2016" spans="1:25" ht="30" customHeight="1" x14ac:dyDescent="0.35">
      <c r="A2016" s="186" t="s">
        <v>842</v>
      </c>
      <c r="B2016" s="1212" t="s">
        <v>2885</v>
      </c>
      <c r="C2016" s="1213"/>
      <c r="D2016" s="1214"/>
      <c r="E2016" s="194">
        <f>205-3.15</f>
        <v>201.85</v>
      </c>
      <c r="F2016" s="186" t="s">
        <v>108</v>
      </c>
      <c r="G2016" s="186"/>
      <c r="H2016" s="186"/>
      <c r="I2016" s="186">
        <v>1.1399999999999999</v>
      </c>
      <c r="J2016" s="186"/>
      <c r="K2016" s="194">
        <f>+E2016*I2016</f>
        <v>230.10899999999998</v>
      </c>
      <c r="L2016" s="186" t="s">
        <v>108</v>
      </c>
      <c r="M2016" s="50"/>
      <c r="N2016" s="50"/>
      <c r="O2016" s="5"/>
      <c r="P2016" s="9"/>
      <c r="Q2016" s="34"/>
      <c r="R2016" s="5"/>
      <c r="S2016" s="35"/>
    </row>
    <row r="2017" spans="1:23" ht="30" customHeight="1" x14ac:dyDescent="0.35">
      <c r="A2017" s="186" t="s">
        <v>249</v>
      </c>
      <c r="B2017" s="1202" t="s">
        <v>968</v>
      </c>
      <c r="C2017" s="1203"/>
      <c r="D2017" s="1203"/>
      <c r="E2017" s="194">
        <v>5.0999999999999996</v>
      </c>
      <c r="F2017" s="127" t="s">
        <v>108</v>
      </c>
      <c r="G2017" s="503"/>
      <c r="H2017" s="534"/>
      <c r="I2017" s="186">
        <v>1.1399999999999999</v>
      </c>
      <c r="J2017" s="186"/>
      <c r="K2017" s="194">
        <f>+E2017*I2017</f>
        <v>5.8139999999999992</v>
      </c>
      <c r="L2017" s="186" t="s">
        <v>108</v>
      </c>
      <c r="N2017" s="50"/>
      <c r="O2017" s="5"/>
      <c r="P2017" s="9"/>
      <c r="Q2017" s="34"/>
      <c r="R2017" s="5"/>
      <c r="S2017" s="35"/>
    </row>
    <row r="2018" spans="1:23" ht="30" customHeight="1" x14ac:dyDescent="0.35">
      <c r="A2018" s="186" t="s">
        <v>249</v>
      </c>
      <c r="B2018" s="1212" t="s">
        <v>938</v>
      </c>
      <c r="C2018" s="1213"/>
      <c r="D2018" s="1214"/>
      <c r="E2018" s="194">
        <f>+E2017*0.15</f>
        <v>0.7649999999999999</v>
      </c>
      <c r="F2018" s="127" t="s">
        <v>108</v>
      </c>
      <c r="G2018" s="558"/>
      <c r="H2018" s="193">
        <f>E2018</f>
        <v>0.7649999999999999</v>
      </c>
      <c r="I2018" s="186">
        <v>1.1399999999999999</v>
      </c>
      <c r="J2018" s="186"/>
      <c r="K2018" s="193">
        <f>+H2018*I2018</f>
        <v>0.87209999999999976</v>
      </c>
      <c r="L2018" s="186" t="s">
        <v>108</v>
      </c>
      <c r="M2018" s="50"/>
      <c r="N2018" s="50"/>
      <c r="O2018" s="5"/>
      <c r="P2018" s="9"/>
      <c r="Q2018" s="34"/>
      <c r="R2018" s="5"/>
      <c r="S2018" s="35"/>
    </row>
    <row r="2019" spans="1:23" ht="30" customHeight="1" x14ac:dyDescent="0.35">
      <c r="A2019" s="186" t="s">
        <v>249</v>
      </c>
      <c r="B2019" s="1212" t="s">
        <v>927</v>
      </c>
      <c r="C2019" s="1213"/>
      <c r="D2019" s="1214"/>
      <c r="E2019" s="193">
        <f xml:space="preserve"> 0.72+((1.42+2.11)/2)</f>
        <v>2.4849999999999999</v>
      </c>
      <c r="F2019" s="127" t="s">
        <v>108</v>
      </c>
      <c r="G2019" s="558"/>
      <c r="H2019" s="193">
        <f>E2019</f>
        <v>2.4849999999999999</v>
      </c>
      <c r="I2019" s="186">
        <v>1.1399999999999999</v>
      </c>
      <c r="J2019" s="186"/>
      <c r="K2019" s="193">
        <f>+H2019*I2019</f>
        <v>2.8328999999999995</v>
      </c>
      <c r="L2019" s="186" t="s">
        <v>108</v>
      </c>
      <c r="M2019" s="50"/>
      <c r="N2019" s="50"/>
      <c r="O2019" s="5"/>
      <c r="P2019" s="9"/>
      <c r="Q2019" s="34"/>
      <c r="R2019" s="5"/>
      <c r="S2019" s="35"/>
    </row>
    <row r="2020" spans="1:23" ht="30" customHeight="1" x14ac:dyDescent="0.35">
      <c r="A2020" s="186"/>
      <c r="B2020" s="1264"/>
      <c r="C2020" s="1264"/>
      <c r="D2020" s="1264"/>
      <c r="E2020" s="194"/>
      <c r="F2020" s="186"/>
      <c r="G2020" s="503"/>
      <c r="H2020" s="534"/>
      <c r="I2020" s="186"/>
      <c r="J2020" s="186" t="s">
        <v>223</v>
      </c>
      <c r="K2020" s="194">
        <f>SUM(K2016:K2019)</f>
        <v>239.62799999999996</v>
      </c>
      <c r="L2020" s="186" t="s">
        <v>108</v>
      </c>
      <c r="M2020" s="50"/>
      <c r="N2020" s="50"/>
    </row>
    <row r="2021" spans="1:23" ht="30" customHeight="1" x14ac:dyDescent="0.35">
      <c r="A2021" s="186"/>
      <c r="B2021" s="567"/>
      <c r="C2021" s="567"/>
      <c r="D2021" s="567"/>
      <c r="E2021" s="194"/>
      <c r="F2021" s="1215" t="s">
        <v>195</v>
      </c>
      <c r="G2021" s="1273" t="s">
        <v>196</v>
      </c>
      <c r="H2021" s="1273"/>
      <c r="I2021" s="1273"/>
      <c r="J2021" s="1273"/>
      <c r="K2021" s="196">
        <v>1.05</v>
      </c>
      <c r="L2021" s="186"/>
      <c r="M2021" s="50"/>
      <c r="N2021" s="50"/>
      <c r="O2021" s="5"/>
      <c r="P2021" s="9"/>
      <c r="Q2021" s="34"/>
      <c r="R2021" s="5"/>
      <c r="S2021" s="35"/>
    </row>
    <row r="2022" spans="1:23" ht="30" customHeight="1" x14ac:dyDescent="0.35">
      <c r="A2022" s="186"/>
      <c r="B2022" s="567"/>
      <c r="C2022" s="567"/>
      <c r="D2022" s="567"/>
      <c r="E2022" s="194"/>
      <c r="F2022" s="1216"/>
      <c r="G2022" s="1268" t="s">
        <v>2875</v>
      </c>
      <c r="H2022" s="1268"/>
      <c r="I2022" s="1268"/>
      <c r="J2022" s="1268"/>
      <c r="K2022" s="196">
        <v>1.07</v>
      </c>
      <c r="L2022" s="186"/>
      <c r="M2022" s="50"/>
      <c r="N2022" s="50"/>
      <c r="O2022" s="5"/>
      <c r="P2022" s="9"/>
      <c r="Q2022" s="34"/>
      <c r="R2022" s="5"/>
      <c r="S2022" s="35"/>
    </row>
    <row r="2023" spans="1:23" ht="30" customHeight="1" x14ac:dyDescent="0.35">
      <c r="A2023" s="186"/>
      <c r="B2023" s="186"/>
      <c r="C2023" s="503"/>
      <c r="D2023" s="503"/>
      <c r="E2023" s="503"/>
      <c r="F2023" s="503"/>
      <c r="G2023" s="503"/>
      <c r="H2023" s="503"/>
      <c r="I2023" s="503"/>
      <c r="J2023" s="503" t="s">
        <v>37</v>
      </c>
      <c r="K2023" s="193">
        <f>+K2020*K2021/K2022</f>
        <v>235.14897196261677</v>
      </c>
      <c r="L2023" s="186" t="s">
        <v>108</v>
      </c>
      <c r="M2023" s="50"/>
      <c r="N2023" s="50"/>
      <c r="O2023" s="572"/>
      <c r="P2023" s="384"/>
      <c r="Q2023" s="396"/>
      <c r="R2023" s="396"/>
      <c r="S2023" s="396"/>
      <c r="T2023" s="396"/>
      <c r="U2023" s="396"/>
    </row>
    <row r="2024" spans="1:23" ht="30" customHeight="1" thickBot="1" x14ac:dyDescent="0.4">
      <c r="A2024" s="186"/>
      <c r="B2024" s="186"/>
      <c r="C2024" s="503"/>
      <c r="D2024" s="503"/>
      <c r="E2024" s="503"/>
      <c r="F2024" s="503"/>
      <c r="G2024" s="1374" t="s">
        <v>257</v>
      </c>
      <c r="H2024" s="1375"/>
      <c r="I2024" s="1376"/>
      <c r="J2024" s="560">
        <f>VLOOKUP(B2014,'Mil Cost Premiums for PUCs'!$A$4:$R$285,18,FALSE)</f>
        <v>1.0905505199999999</v>
      </c>
      <c r="K2024" s="193">
        <f>+K2023*J2024</f>
        <v>256.44183365129709</v>
      </c>
      <c r="L2024" s="186" t="s">
        <v>108</v>
      </c>
      <c r="M2024" s="97"/>
      <c r="N2024" s="96"/>
      <c r="O2024" s="724"/>
    </row>
    <row r="2025" spans="1:23" ht="30" customHeight="1" thickBot="1" x14ac:dyDescent="0.4">
      <c r="A2025" s="1199"/>
      <c r="B2025" s="1200"/>
      <c r="C2025" s="1200"/>
      <c r="D2025" s="1200"/>
      <c r="E2025" s="1200"/>
      <c r="F2025" s="1200"/>
      <c r="G2025" s="1200"/>
      <c r="H2025" s="1200"/>
      <c r="I2025" s="1200"/>
      <c r="J2025" s="1200"/>
      <c r="K2025" s="1200"/>
      <c r="L2025" s="1201"/>
      <c r="N2025" s="50"/>
      <c r="V2025" s="396"/>
      <c r="W2025" s="396"/>
    </row>
    <row r="2026" spans="1:23" ht="30" customHeight="1" x14ac:dyDescent="0.35">
      <c r="A2026" s="388" t="s">
        <v>1</v>
      </c>
      <c r="B2026" s="389">
        <v>2264</v>
      </c>
      <c r="C2026" s="1290" t="s">
        <v>986</v>
      </c>
      <c r="D2026" s="1291"/>
      <c r="E2026" s="392" t="s">
        <v>3</v>
      </c>
      <c r="F2026" s="393" t="s">
        <v>108</v>
      </c>
      <c r="G2026" s="390" t="s">
        <v>38</v>
      </c>
      <c r="H2026" s="135">
        <v>4935.1899999999996</v>
      </c>
      <c r="I2026" s="392" t="s">
        <v>5</v>
      </c>
      <c r="J2026" s="1207" t="s">
        <v>1221</v>
      </c>
      <c r="K2026" s="1207"/>
      <c r="L2026" s="1208"/>
      <c r="M2026" s="96"/>
      <c r="N2026" s="50"/>
      <c r="V2026" s="396"/>
      <c r="W2026" s="396"/>
    </row>
    <row r="2027" spans="1:23" ht="30" customHeight="1" x14ac:dyDescent="0.35">
      <c r="A2027" s="185" t="s">
        <v>177</v>
      </c>
      <c r="B2027" s="1272" t="s">
        <v>7</v>
      </c>
      <c r="C2027" s="1272"/>
      <c r="D2027" s="1272"/>
      <c r="E2027" s="397" t="s">
        <v>52</v>
      </c>
      <c r="F2027" s="185" t="s">
        <v>178</v>
      </c>
      <c r="G2027" s="1292" t="s">
        <v>9</v>
      </c>
      <c r="H2027" s="1293"/>
      <c r="I2027" s="1221" t="s">
        <v>179</v>
      </c>
      <c r="J2027" s="1222"/>
      <c r="K2027" s="1209" t="s">
        <v>180</v>
      </c>
      <c r="L2027" s="1210"/>
      <c r="M2027" s="96"/>
      <c r="N2027" s="50"/>
      <c r="V2027" s="396"/>
      <c r="W2027" s="396"/>
    </row>
    <row r="2028" spans="1:23" ht="30" customHeight="1" x14ac:dyDescent="0.35">
      <c r="A2028" s="186">
        <v>21630</v>
      </c>
      <c r="B2028" s="1202" t="s">
        <v>987</v>
      </c>
      <c r="C2028" s="1203"/>
      <c r="D2028" s="1204"/>
      <c r="E2028" s="194">
        <v>1064</v>
      </c>
      <c r="F2028" s="203">
        <v>82500</v>
      </c>
      <c r="G2028" s="401" t="s">
        <v>108</v>
      </c>
      <c r="H2028" s="401"/>
      <c r="I2028" s="1492">
        <f>+'FY2024 MILCON Inflation Table'!F8</f>
        <v>1.7467053391350638</v>
      </c>
      <c r="J2028" s="1493"/>
      <c r="K2028" s="189">
        <f>+E2028*I2028</f>
        <v>1858.4944808397079</v>
      </c>
      <c r="L2028" s="401" t="s">
        <v>108</v>
      </c>
      <c r="M2028" s="50"/>
      <c r="N2028" s="50"/>
      <c r="T2028" s="10"/>
    </row>
    <row r="2029" spans="1:23" ht="62.25" customHeight="1" thickBot="1" x14ac:dyDescent="0.4">
      <c r="A2029" s="186"/>
      <c r="B2029" s="1202"/>
      <c r="C2029" s="1203"/>
      <c r="D2029" s="1204"/>
      <c r="E2029" s="520"/>
      <c r="F2029" s="784"/>
      <c r="G2029" s="520"/>
      <c r="H2029" s="750"/>
      <c r="I2029" s="503"/>
      <c r="J2029" s="494" t="s">
        <v>37</v>
      </c>
      <c r="K2029" s="190">
        <f>AVERAGE(K2028:K2028)</f>
        <v>1858.4944808397079</v>
      </c>
      <c r="L2029" s="401" t="s">
        <v>108</v>
      </c>
      <c r="M2029" s="50"/>
      <c r="N2029" s="50"/>
      <c r="O2029" s="5"/>
      <c r="P2029" s="9"/>
      <c r="Q2029" s="34"/>
      <c r="R2029" s="5"/>
      <c r="S2029" s="35"/>
      <c r="U2029" s="10"/>
    </row>
    <row r="2030" spans="1:23" ht="75" customHeight="1" thickBot="1" x14ac:dyDescent="0.4">
      <c r="A2030" s="1199"/>
      <c r="B2030" s="1200"/>
      <c r="C2030" s="1200"/>
      <c r="D2030" s="1200"/>
      <c r="E2030" s="1200"/>
      <c r="F2030" s="1200"/>
      <c r="G2030" s="1200"/>
      <c r="H2030" s="1200"/>
      <c r="I2030" s="1200"/>
      <c r="J2030" s="1200"/>
      <c r="K2030" s="1200"/>
      <c r="L2030" s="1201"/>
      <c r="M2030" s="50"/>
      <c r="N2030" s="50"/>
      <c r="T2030" s="10"/>
      <c r="U2030" s="10"/>
    </row>
    <row r="2031" spans="1:23" ht="30" customHeight="1" x14ac:dyDescent="0.35">
      <c r="A2031" s="388" t="s">
        <v>1</v>
      </c>
      <c r="B2031" s="389">
        <v>2265</v>
      </c>
      <c r="C2031" s="1290" t="s">
        <v>987</v>
      </c>
      <c r="D2031" s="1291"/>
      <c r="E2031" s="392" t="s">
        <v>3</v>
      </c>
      <c r="F2031" s="393" t="s">
        <v>40</v>
      </c>
      <c r="G2031" s="520" t="s">
        <v>2</v>
      </c>
      <c r="H2031" s="135">
        <v>1</v>
      </c>
      <c r="I2031" s="392" t="s">
        <v>5</v>
      </c>
      <c r="J2031" s="1207" t="s">
        <v>2538</v>
      </c>
      <c r="K2031" s="1207"/>
      <c r="L2031" s="1208"/>
      <c r="M2031" s="97"/>
      <c r="N2031" s="50"/>
      <c r="O2031" s="572"/>
      <c r="P2031" s="384"/>
      <c r="Q2031" s="396"/>
      <c r="R2031" s="396"/>
      <c r="S2031" s="396"/>
      <c r="T2031" s="396"/>
      <c r="U2031" s="396"/>
    </row>
    <row r="2032" spans="1:23" ht="45" customHeight="1" x14ac:dyDescent="0.35">
      <c r="A2032" s="494" t="s">
        <v>187</v>
      </c>
      <c r="B2032" s="1280" t="s">
        <v>211</v>
      </c>
      <c r="C2032" s="1281"/>
      <c r="D2032" s="1282"/>
      <c r="E2032" s="566" t="s">
        <v>52</v>
      </c>
      <c r="F2032" s="566" t="s">
        <v>53</v>
      </c>
      <c r="G2032" s="1219" t="s">
        <v>54</v>
      </c>
      <c r="H2032" s="1220"/>
      <c r="I2032" s="1221" t="s">
        <v>179</v>
      </c>
      <c r="J2032" s="1222"/>
      <c r="K2032" s="1209" t="s">
        <v>180</v>
      </c>
      <c r="L2032" s="1210"/>
      <c r="M2032" s="97"/>
      <c r="N2032" s="50"/>
      <c r="O2032" s="572"/>
      <c r="P2032" s="384"/>
      <c r="Q2032" s="396"/>
      <c r="R2032" s="396"/>
      <c r="S2032" s="396"/>
      <c r="T2032" s="396"/>
      <c r="U2032" s="396"/>
    </row>
    <row r="2033" spans="1:23" ht="30" customHeight="1" x14ac:dyDescent="0.35">
      <c r="A2033" s="186">
        <v>93210</v>
      </c>
      <c r="B2033" s="1212" t="s">
        <v>2556</v>
      </c>
      <c r="C2033" s="1213"/>
      <c r="D2033" s="1214"/>
      <c r="E2033" s="733">
        <v>6.42</v>
      </c>
      <c r="F2033" s="422" t="s">
        <v>16</v>
      </c>
      <c r="G2033" s="772">
        <f>+E2038/3</f>
        <v>55.55555555555555</v>
      </c>
      <c r="H2033" s="708" t="s">
        <v>356</v>
      </c>
      <c r="I2033" s="1332">
        <f>+'FY2024 MILCON Inflation Table'!F22</f>
        <v>0.95834826759383673</v>
      </c>
      <c r="J2033" s="1333"/>
      <c r="K2033" s="734">
        <f>+E2033*G2033*I2033</f>
        <v>341.81088210846838</v>
      </c>
      <c r="L2033" s="422" t="s">
        <v>40</v>
      </c>
      <c r="M2033" s="50"/>
      <c r="N2033" s="50"/>
    </row>
    <row r="2034" spans="1:23" ht="45" customHeight="1" x14ac:dyDescent="0.35">
      <c r="A2034" s="186">
        <v>93410</v>
      </c>
      <c r="B2034" s="1212" t="s">
        <v>2557</v>
      </c>
      <c r="C2034" s="1213"/>
      <c r="D2034" s="1214"/>
      <c r="E2034" s="733">
        <v>11.04</v>
      </c>
      <c r="F2034" s="422" t="s">
        <v>16</v>
      </c>
      <c r="G2034" s="772">
        <f>+E2038/3</f>
        <v>55.55555555555555</v>
      </c>
      <c r="H2034" s="708" t="s">
        <v>356</v>
      </c>
      <c r="I2034" s="1332">
        <f>+I2033</f>
        <v>0.95834826759383673</v>
      </c>
      <c r="J2034" s="1333"/>
      <c r="K2034" s="734">
        <f>+E2034*G2034*I2034</f>
        <v>587.78693745755311</v>
      </c>
      <c r="L2034" s="422" t="s">
        <v>40</v>
      </c>
      <c r="M2034" s="50"/>
      <c r="N2034" s="50"/>
      <c r="O2034" s="539"/>
      <c r="P2034" s="384"/>
      <c r="Q2034" s="396"/>
      <c r="R2034" s="396"/>
      <c r="S2034" s="396"/>
      <c r="T2034" s="396"/>
      <c r="U2034" s="396"/>
      <c r="V2034" s="396"/>
      <c r="W2034" s="396"/>
    </row>
    <row r="2035" spans="1:23" ht="45" customHeight="1" x14ac:dyDescent="0.35">
      <c r="A2035" s="186">
        <v>93410</v>
      </c>
      <c r="B2035" s="1212" t="s">
        <v>988</v>
      </c>
      <c r="C2035" s="1213"/>
      <c r="D2035" s="1214"/>
      <c r="E2035" s="733">
        <v>8.82</v>
      </c>
      <c r="F2035" s="422" t="s">
        <v>4</v>
      </c>
      <c r="G2035" s="772">
        <f>+E2038</f>
        <v>166.66666666666666</v>
      </c>
      <c r="H2035" s="708" t="s">
        <v>359</v>
      </c>
      <c r="I2035" s="1332">
        <f>+I2033</f>
        <v>0.95834826759383673</v>
      </c>
      <c r="J2035" s="1333"/>
      <c r="K2035" s="734">
        <f>+E2035*G2035*I2035</f>
        <v>1408.7719533629399</v>
      </c>
      <c r="L2035" s="422" t="s">
        <v>40</v>
      </c>
      <c r="M2035" s="50"/>
      <c r="N2035" s="50"/>
      <c r="O2035" s="539"/>
    </row>
    <row r="2036" spans="1:23" ht="30" customHeight="1" x14ac:dyDescent="0.35">
      <c r="A2036" s="186">
        <v>93210</v>
      </c>
      <c r="B2036" s="1212" t="s">
        <v>989</v>
      </c>
      <c r="C2036" s="1213"/>
      <c r="D2036" s="1214"/>
      <c r="E2036" s="733">
        <v>67.17</v>
      </c>
      <c r="F2036" s="422" t="s">
        <v>16</v>
      </c>
      <c r="G2036" s="772">
        <f>+E2038/3</f>
        <v>55.55555555555555</v>
      </c>
      <c r="H2036" s="708" t="s">
        <v>356</v>
      </c>
      <c r="I2036" s="1332">
        <f>+I2033</f>
        <v>0.95834826759383673</v>
      </c>
      <c r="J2036" s="1333"/>
      <c r="K2036" s="734">
        <f>+E2036*G2036*I2036</f>
        <v>3576.2362852376673</v>
      </c>
      <c r="L2036" s="422" t="s">
        <v>40</v>
      </c>
      <c r="M2036" s="50"/>
      <c r="N2036" s="50"/>
      <c r="O2036" s="539"/>
      <c r="V2036" s="396"/>
      <c r="W2036" s="396"/>
    </row>
    <row r="2037" spans="1:23" ht="30" customHeight="1" x14ac:dyDescent="0.35">
      <c r="A2037" s="186"/>
      <c r="C2037" s="278"/>
      <c r="D2037" s="278"/>
      <c r="E2037" s="278"/>
      <c r="F2037" s="278"/>
      <c r="G2037" s="707"/>
      <c r="H2037" s="708"/>
      <c r="I2037" s="186"/>
      <c r="J2037" s="186" t="s">
        <v>251</v>
      </c>
      <c r="K2037" s="201">
        <f>SUM(K2033:K2036)</f>
        <v>5914.6060581666288</v>
      </c>
      <c r="L2037" s="186" t="s">
        <v>40</v>
      </c>
      <c r="M2037" s="50"/>
      <c r="V2037" s="396"/>
      <c r="W2037" s="396"/>
    </row>
    <row r="2038" spans="1:23" ht="75" customHeight="1" thickBot="1" x14ac:dyDescent="0.4">
      <c r="A2038" s="503"/>
      <c r="B2038" s="1212" t="s">
        <v>2555</v>
      </c>
      <c r="C2038" s="1457"/>
      <c r="D2038" s="1458"/>
      <c r="E2038" s="306">
        <f>1500/9</f>
        <v>166.66666666666666</v>
      </c>
      <c r="F2038" s="422" t="s">
        <v>4</v>
      </c>
      <c r="G2038" s="186"/>
      <c r="H2038" s="186"/>
      <c r="I2038" s="186"/>
      <c r="J2038" s="494" t="s">
        <v>37</v>
      </c>
      <c r="K2038" s="201">
        <f>+K2037</f>
        <v>5914.6060581666288</v>
      </c>
      <c r="L2038" s="186" t="s">
        <v>40</v>
      </c>
      <c r="M2038" s="50"/>
      <c r="N2038" s="50"/>
      <c r="V2038" s="396"/>
      <c r="W2038" s="396"/>
    </row>
    <row r="2039" spans="1:23" ht="30" customHeight="1" thickBot="1" x14ac:dyDescent="0.4">
      <c r="A2039" s="1199"/>
      <c r="B2039" s="1200"/>
      <c r="C2039" s="1200"/>
      <c r="D2039" s="1200"/>
      <c r="E2039" s="1200"/>
      <c r="F2039" s="1200"/>
      <c r="G2039" s="1200"/>
      <c r="H2039" s="1200"/>
      <c r="I2039" s="1200"/>
      <c r="J2039" s="1200"/>
      <c r="K2039" s="1200"/>
      <c r="L2039" s="1201"/>
      <c r="M2039" s="165"/>
      <c r="N2039" s="50"/>
      <c r="T2039" s="10"/>
      <c r="U2039" s="10"/>
    </row>
    <row r="2040" spans="1:23" ht="30" customHeight="1" x14ac:dyDescent="0.35">
      <c r="A2040" s="388" t="s">
        <v>1</v>
      </c>
      <c r="B2040" s="389">
        <v>2271</v>
      </c>
      <c r="C2040" s="1290" t="s">
        <v>990</v>
      </c>
      <c r="D2040" s="1291"/>
      <c r="E2040" s="392" t="s">
        <v>3</v>
      </c>
      <c r="F2040" s="393" t="s">
        <v>108</v>
      </c>
      <c r="G2040" s="390" t="s">
        <v>38</v>
      </c>
      <c r="H2040" s="660">
        <v>56474</v>
      </c>
      <c r="I2040" s="392" t="s">
        <v>5</v>
      </c>
      <c r="J2040" s="1207" t="s">
        <v>2874</v>
      </c>
      <c r="K2040" s="1207"/>
      <c r="L2040" s="1208"/>
      <c r="M2040" s="165"/>
      <c r="N2040" s="50"/>
      <c r="T2040" s="10"/>
      <c r="U2040" s="10"/>
    </row>
    <row r="2041" spans="1:23" ht="30" customHeight="1" x14ac:dyDescent="0.35">
      <c r="A2041" s="494" t="s">
        <v>187</v>
      </c>
      <c r="B2041" s="1280" t="s">
        <v>211</v>
      </c>
      <c r="C2041" s="1281"/>
      <c r="D2041" s="1282"/>
      <c r="E2041" s="566" t="s">
        <v>52</v>
      </c>
      <c r="F2041" s="566" t="s">
        <v>53</v>
      </c>
      <c r="G2041" s="1219" t="s">
        <v>54</v>
      </c>
      <c r="H2041" s="1220"/>
      <c r="I2041" s="185" t="s">
        <v>188</v>
      </c>
      <c r="J2041" s="185"/>
      <c r="K2041" s="1209" t="s">
        <v>180</v>
      </c>
      <c r="L2041" s="1210"/>
      <c r="M2041" s="165"/>
      <c r="N2041" s="50"/>
      <c r="O2041" s="5"/>
      <c r="P2041" s="9"/>
      <c r="Q2041" s="34"/>
      <c r="R2041" s="5"/>
      <c r="S2041" s="35"/>
    </row>
    <row r="2042" spans="1:23" ht="30" customHeight="1" x14ac:dyDescent="0.35">
      <c r="A2042" s="186" t="s">
        <v>826</v>
      </c>
      <c r="B2042" s="1212" t="s">
        <v>2886</v>
      </c>
      <c r="C2042" s="1213"/>
      <c r="D2042" s="1214"/>
      <c r="E2042" s="194">
        <f>96.5-3.01</f>
        <v>93.49</v>
      </c>
      <c r="F2042" s="186" t="s">
        <v>108</v>
      </c>
      <c r="G2042" s="186"/>
      <c r="H2042" s="186"/>
      <c r="I2042" s="186">
        <v>1.1399999999999999</v>
      </c>
      <c r="J2042" s="204"/>
      <c r="K2042" s="194">
        <f>+E2042*I2042</f>
        <v>106.57859999999998</v>
      </c>
      <c r="L2042" s="186" t="s">
        <v>108</v>
      </c>
      <c r="M2042" s="50"/>
      <c r="N2042" s="50"/>
      <c r="O2042" s="5"/>
      <c r="P2042" s="9"/>
      <c r="Q2042" s="34"/>
      <c r="R2042" s="5"/>
      <c r="S2042" s="35"/>
    </row>
    <row r="2043" spans="1:23" ht="30" customHeight="1" x14ac:dyDescent="0.35">
      <c r="A2043" s="186" t="s">
        <v>249</v>
      </c>
      <c r="B2043" s="1202" t="s">
        <v>976</v>
      </c>
      <c r="C2043" s="1203"/>
      <c r="D2043" s="1203"/>
      <c r="E2043" s="194">
        <v>3.93</v>
      </c>
      <c r="F2043" s="127" t="s">
        <v>108</v>
      </c>
      <c r="G2043" s="503"/>
      <c r="H2043" s="534"/>
      <c r="I2043" s="186">
        <v>1.1399999999999999</v>
      </c>
      <c r="J2043" s="204"/>
      <c r="K2043" s="194">
        <f>+E2043*I2043</f>
        <v>4.4802</v>
      </c>
      <c r="L2043" s="186" t="s">
        <v>108</v>
      </c>
      <c r="M2043" s="50"/>
      <c r="N2043" s="50"/>
      <c r="O2043" s="5"/>
      <c r="P2043" s="9"/>
      <c r="Q2043" s="34"/>
      <c r="R2043" s="5"/>
      <c r="S2043" s="35"/>
    </row>
    <row r="2044" spans="1:23" ht="30" customHeight="1" x14ac:dyDescent="0.35">
      <c r="A2044" s="186"/>
      <c r="B2044" s="1264"/>
      <c r="C2044" s="1264"/>
      <c r="D2044" s="1264"/>
      <c r="E2044" s="194"/>
      <c r="F2044" s="186"/>
      <c r="G2044" s="503"/>
      <c r="H2044" s="534"/>
      <c r="I2044" s="186"/>
      <c r="J2044" s="186" t="s">
        <v>223</v>
      </c>
      <c r="K2044" s="194">
        <f>SUM(K2042:K2043)</f>
        <v>111.05879999999998</v>
      </c>
      <c r="L2044" s="186" t="s">
        <v>108</v>
      </c>
      <c r="M2044" s="50"/>
      <c r="N2044" s="50"/>
      <c r="P2044" s="34"/>
      <c r="Q2044" s="5"/>
      <c r="R2044" s="35"/>
    </row>
    <row r="2045" spans="1:23" ht="30" customHeight="1" x14ac:dyDescent="0.35">
      <c r="A2045" s="186"/>
      <c r="B2045" s="567"/>
      <c r="C2045" s="567"/>
      <c r="D2045" s="567"/>
      <c r="E2045" s="194"/>
      <c r="F2045" s="1215" t="s">
        <v>195</v>
      </c>
      <c r="G2045" s="1273" t="s">
        <v>196</v>
      </c>
      <c r="H2045" s="1273"/>
      <c r="I2045" s="1273"/>
      <c r="J2045" s="1273"/>
      <c r="K2045" s="196">
        <v>1.07</v>
      </c>
      <c r="L2045" s="186"/>
      <c r="M2045" s="50"/>
      <c r="N2045" s="50"/>
      <c r="P2045" s="34"/>
      <c r="Q2045" s="5"/>
      <c r="R2045" s="35"/>
    </row>
    <row r="2046" spans="1:23" ht="30" customHeight="1" x14ac:dyDescent="0.35">
      <c r="A2046" s="186"/>
      <c r="B2046" s="567"/>
      <c r="C2046" s="567"/>
      <c r="D2046" s="567"/>
      <c r="E2046" s="194"/>
      <c r="F2046" s="1216"/>
      <c r="G2046" s="1268" t="s">
        <v>2875</v>
      </c>
      <c r="H2046" s="1268"/>
      <c r="I2046" s="1268"/>
      <c r="J2046" s="1268"/>
      <c r="K2046" s="196">
        <v>1.07</v>
      </c>
      <c r="L2046" s="186"/>
      <c r="M2046" s="50"/>
      <c r="N2046" s="50"/>
      <c r="P2046" s="34"/>
      <c r="Q2046" s="5"/>
      <c r="R2046" s="35"/>
    </row>
    <row r="2047" spans="1:23" ht="30" customHeight="1" x14ac:dyDescent="0.35">
      <c r="A2047" s="186"/>
      <c r="B2047" s="186"/>
      <c r="C2047" s="503"/>
      <c r="D2047" s="503"/>
      <c r="E2047" s="503"/>
      <c r="F2047" s="503"/>
      <c r="G2047" s="503"/>
      <c r="H2047" s="503"/>
      <c r="I2047" s="503"/>
      <c r="J2047" s="503" t="s">
        <v>37</v>
      </c>
      <c r="K2047" s="193">
        <f>+K2044*K2045/K2046</f>
        <v>111.05879999999998</v>
      </c>
      <c r="L2047" s="186" t="s">
        <v>108</v>
      </c>
      <c r="M2047" s="50"/>
      <c r="N2047" s="50"/>
      <c r="P2047" s="34"/>
      <c r="Q2047" s="5"/>
      <c r="R2047" s="35"/>
    </row>
    <row r="2048" spans="1:23" ht="30" customHeight="1" thickBot="1" x14ac:dyDescent="0.4">
      <c r="A2048" s="186"/>
      <c r="B2048" s="186"/>
      <c r="C2048" s="503"/>
      <c r="D2048" s="503"/>
      <c r="E2048" s="503"/>
      <c r="F2048" s="503"/>
      <c r="G2048" s="1374" t="s">
        <v>257</v>
      </c>
      <c r="H2048" s="1375"/>
      <c r="I2048" s="1376"/>
      <c r="J2048" s="560">
        <f>VLOOKUP(B2040,'Mil Cost Premiums for PUCs'!$A$4:$R$285,18,FALSE)</f>
        <v>1.1932356231980656</v>
      </c>
      <c r="K2048" s="193">
        <f>+K2047*J2048</f>
        <v>132.5193164296293</v>
      </c>
      <c r="L2048" s="186" t="s">
        <v>108</v>
      </c>
      <c r="M2048" s="50"/>
      <c r="P2048" s="34"/>
      <c r="Q2048" s="5"/>
      <c r="R2048" s="35"/>
    </row>
    <row r="2049" spans="1:19" ht="30" customHeight="1" thickBot="1" x14ac:dyDescent="0.4">
      <c r="A2049" s="1199"/>
      <c r="B2049" s="1200"/>
      <c r="C2049" s="1200"/>
      <c r="D2049" s="1200"/>
      <c r="E2049" s="1200"/>
      <c r="F2049" s="1200"/>
      <c r="G2049" s="1200"/>
      <c r="H2049" s="1200"/>
      <c r="I2049" s="1200"/>
      <c r="J2049" s="1200"/>
      <c r="K2049" s="1200"/>
      <c r="L2049" s="1201"/>
      <c r="N2049" s="50"/>
      <c r="O2049" s="5"/>
      <c r="P2049" s="9"/>
      <c r="Q2049" s="34"/>
      <c r="R2049" s="5"/>
      <c r="S2049" s="35"/>
    </row>
    <row r="2050" spans="1:19" ht="30" customHeight="1" x14ac:dyDescent="0.35">
      <c r="A2050" s="388" t="s">
        <v>1</v>
      </c>
      <c r="B2050" s="389">
        <v>2281</v>
      </c>
      <c r="C2050" s="1205" t="s">
        <v>991</v>
      </c>
      <c r="D2050" s="1206"/>
      <c r="E2050" s="392" t="s">
        <v>3</v>
      </c>
      <c r="F2050" s="393" t="s">
        <v>108</v>
      </c>
      <c r="G2050" s="390" t="s">
        <v>38</v>
      </c>
      <c r="H2050" s="660">
        <v>6551</v>
      </c>
      <c r="I2050" s="392" t="s">
        <v>5</v>
      </c>
      <c r="J2050" s="1207" t="s">
        <v>2874</v>
      </c>
      <c r="K2050" s="1207"/>
      <c r="L2050" s="1208"/>
      <c r="M2050" s="50"/>
      <c r="N2050" s="50"/>
      <c r="O2050" s="5"/>
      <c r="P2050" s="9"/>
      <c r="Q2050" s="34"/>
      <c r="R2050" s="5"/>
      <c r="S2050" s="35"/>
    </row>
    <row r="2051" spans="1:19" ht="30" customHeight="1" x14ac:dyDescent="0.35">
      <c r="A2051" s="494" t="s">
        <v>187</v>
      </c>
      <c r="B2051" s="1280" t="s">
        <v>211</v>
      </c>
      <c r="C2051" s="1281"/>
      <c r="D2051" s="1282"/>
      <c r="E2051" s="566" t="s">
        <v>52</v>
      </c>
      <c r="F2051" s="566" t="s">
        <v>53</v>
      </c>
      <c r="G2051" s="1219" t="s">
        <v>54</v>
      </c>
      <c r="H2051" s="1220"/>
      <c r="I2051" s="185" t="s">
        <v>188</v>
      </c>
      <c r="J2051" s="185"/>
      <c r="K2051" s="1209" t="s">
        <v>180</v>
      </c>
      <c r="L2051" s="1210"/>
      <c r="M2051" s="50"/>
      <c r="N2051" s="50"/>
      <c r="O2051" s="5"/>
      <c r="P2051" s="9"/>
      <c r="Q2051" s="34"/>
      <c r="R2051" s="5"/>
      <c r="S2051" s="35"/>
    </row>
    <row r="2052" spans="1:19" ht="30" customHeight="1" x14ac:dyDescent="0.35">
      <c r="A2052" s="186" t="s">
        <v>826</v>
      </c>
      <c r="B2052" s="1212" t="s">
        <v>2886</v>
      </c>
      <c r="C2052" s="1213"/>
      <c r="D2052" s="1214"/>
      <c r="E2052" s="194">
        <f>96.5-3.01</f>
        <v>93.49</v>
      </c>
      <c r="F2052" s="186" t="s">
        <v>108</v>
      </c>
      <c r="G2052" s="186"/>
      <c r="H2052" s="186"/>
      <c r="I2052" s="186">
        <v>1.1399999999999999</v>
      </c>
      <c r="J2052" s="204"/>
      <c r="K2052" s="194">
        <f>+E2052*I2052</f>
        <v>106.57859999999998</v>
      </c>
      <c r="L2052" s="186" t="s">
        <v>108</v>
      </c>
      <c r="M2052" s="50"/>
      <c r="N2052" s="50"/>
      <c r="O2052" s="5"/>
      <c r="P2052" s="9"/>
      <c r="Q2052" s="34"/>
      <c r="R2052" s="5"/>
      <c r="S2052" s="35"/>
    </row>
    <row r="2053" spans="1:19" ht="30" customHeight="1" x14ac:dyDescent="0.35">
      <c r="A2053" s="186" t="s">
        <v>333</v>
      </c>
      <c r="B2053" s="1212" t="s">
        <v>992</v>
      </c>
      <c r="C2053" s="1213"/>
      <c r="D2053" s="1214"/>
      <c r="E2053" s="193">
        <v>199000</v>
      </c>
      <c r="F2053" s="186" t="s">
        <v>40</v>
      </c>
      <c r="G2053" s="907">
        <f>+H2050</f>
        <v>6551</v>
      </c>
      <c r="H2053" s="534" t="s">
        <v>933</v>
      </c>
      <c r="I2053" s="186">
        <v>1.01</v>
      </c>
      <c r="J2053" s="204"/>
      <c r="K2053" s="194">
        <f>+E2053/G2053*I2053</f>
        <v>30.680812089757289</v>
      </c>
      <c r="L2053" s="186" t="s">
        <v>108</v>
      </c>
      <c r="M2053" s="50"/>
      <c r="N2053" s="50"/>
      <c r="P2053" s="34"/>
      <c r="Q2053" s="5"/>
      <c r="R2053" s="35"/>
    </row>
    <row r="2054" spans="1:19" ht="30" customHeight="1" x14ac:dyDescent="0.35">
      <c r="A2054" s="186" t="s">
        <v>333</v>
      </c>
      <c r="B2054" s="1212" t="s">
        <v>993</v>
      </c>
      <c r="C2054" s="1213"/>
      <c r="D2054" s="1214"/>
      <c r="E2054" s="194">
        <f>+(344+377)/2</f>
        <v>360.5</v>
      </c>
      <c r="F2054" s="127" t="s">
        <v>28</v>
      </c>
      <c r="G2054" s="142">
        <v>288</v>
      </c>
      <c r="H2054" s="554" t="s">
        <v>847</v>
      </c>
      <c r="I2054" s="186">
        <v>1.01</v>
      </c>
      <c r="J2054" s="186"/>
      <c r="K2054" s="194">
        <f>+E2054/G2054*I2054</f>
        <v>1.2642534722222223</v>
      </c>
      <c r="L2054" s="186" t="s">
        <v>108</v>
      </c>
      <c r="M2054" s="50"/>
      <c r="N2054" s="50"/>
      <c r="P2054" s="34"/>
      <c r="Q2054" s="5"/>
      <c r="R2054" s="35"/>
    </row>
    <row r="2055" spans="1:19" ht="30" customHeight="1" x14ac:dyDescent="0.35">
      <c r="A2055" s="186" t="s">
        <v>333</v>
      </c>
      <c r="B2055" s="1212" t="s">
        <v>980</v>
      </c>
      <c r="C2055" s="1213"/>
      <c r="D2055" s="1214"/>
      <c r="E2055" s="194">
        <f>(33.5+67.5)/2</f>
        <v>50.5</v>
      </c>
      <c r="F2055" s="127" t="s">
        <v>28</v>
      </c>
      <c r="G2055" s="142">
        <v>288</v>
      </c>
      <c r="H2055" s="554" t="s">
        <v>847</v>
      </c>
      <c r="I2055" s="186">
        <v>1.01</v>
      </c>
      <c r="J2055" s="204"/>
      <c r="K2055" s="194">
        <f>+E2055/G2055*I2055</f>
        <v>0.17710069444444443</v>
      </c>
      <c r="L2055" s="186" t="s">
        <v>108</v>
      </c>
      <c r="M2055" s="50"/>
      <c r="N2055" s="50"/>
      <c r="P2055" s="34"/>
      <c r="Q2055" s="5"/>
      <c r="R2055" s="35"/>
    </row>
    <row r="2056" spans="1:19" ht="30" customHeight="1" x14ac:dyDescent="0.35">
      <c r="A2056" s="186" t="s">
        <v>249</v>
      </c>
      <c r="B2056" s="1202" t="s">
        <v>984</v>
      </c>
      <c r="C2056" s="1203"/>
      <c r="D2056" s="1203"/>
      <c r="E2056" s="194">
        <v>5.38</v>
      </c>
      <c r="F2056" s="127" t="s">
        <v>108</v>
      </c>
      <c r="G2056" s="503"/>
      <c r="H2056" s="534"/>
      <c r="I2056" s="186">
        <v>1.1399999999999999</v>
      </c>
      <c r="J2056" s="204"/>
      <c r="K2056" s="194">
        <f>+E2056*I2056</f>
        <v>6.1331999999999995</v>
      </c>
      <c r="L2056" s="186" t="s">
        <v>108</v>
      </c>
      <c r="M2056" s="50"/>
      <c r="N2056" s="50"/>
      <c r="P2056" s="34"/>
      <c r="Q2056" s="5"/>
      <c r="R2056" s="35"/>
    </row>
    <row r="2057" spans="1:19" ht="30" customHeight="1" x14ac:dyDescent="0.35">
      <c r="A2057" s="186"/>
      <c r="B2057" s="1264"/>
      <c r="C2057" s="1264"/>
      <c r="D2057" s="1264"/>
      <c r="E2057" s="194"/>
      <c r="F2057" s="186"/>
      <c r="G2057" s="503"/>
      <c r="H2057" s="534"/>
      <c r="I2057" s="186"/>
      <c r="J2057" s="186" t="s">
        <v>223</v>
      </c>
      <c r="K2057" s="194">
        <f>SUM(K2052:K2056)</f>
        <v>144.83396625642393</v>
      </c>
      <c r="L2057" s="186" t="s">
        <v>108</v>
      </c>
      <c r="M2057" s="50"/>
      <c r="N2057" s="50"/>
      <c r="P2057" s="34"/>
      <c r="Q2057" s="5"/>
      <c r="R2057" s="35"/>
    </row>
    <row r="2058" spans="1:19" ht="30" customHeight="1" x14ac:dyDescent="0.35">
      <c r="A2058" s="186"/>
      <c r="B2058" s="567"/>
      <c r="C2058" s="567"/>
      <c r="D2058" s="567"/>
      <c r="E2058" s="194"/>
      <c r="F2058" s="1215" t="s">
        <v>195</v>
      </c>
      <c r="G2058" s="1273" t="s">
        <v>196</v>
      </c>
      <c r="H2058" s="1273"/>
      <c r="I2058" s="1273"/>
      <c r="J2058" s="1273"/>
      <c r="K2058" s="196">
        <v>1.07</v>
      </c>
      <c r="L2058" s="186"/>
      <c r="M2058" s="50"/>
      <c r="N2058" s="50"/>
    </row>
    <row r="2059" spans="1:19" ht="30" customHeight="1" x14ac:dyDescent="0.35">
      <c r="A2059" s="186"/>
      <c r="B2059" s="567"/>
      <c r="C2059" s="567"/>
      <c r="D2059" s="567"/>
      <c r="E2059" s="194"/>
      <c r="F2059" s="1216"/>
      <c r="G2059" s="1268" t="s">
        <v>2875</v>
      </c>
      <c r="H2059" s="1268"/>
      <c r="I2059" s="1268"/>
      <c r="J2059" s="1268"/>
      <c r="K2059" s="196">
        <v>1.07</v>
      </c>
      <c r="L2059" s="186"/>
      <c r="M2059" s="50"/>
      <c r="N2059" s="50"/>
      <c r="P2059" s="34"/>
      <c r="Q2059" s="5"/>
      <c r="R2059" s="35"/>
    </row>
    <row r="2060" spans="1:19" ht="30" customHeight="1" x14ac:dyDescent="0.35">
      <c r="A2060" s="186"/>
      <c r="B2060" s="186"/>
      <c r="C2060" s="503"/>
      <c r="D2060" s="503"/>
      <c r="E2060" s="503"/>
      <c r="F2060" s="503"/>
      <c r="G2060" s="503"/>
      <c r="H2060" s="503"/>
      <c r="I2060" s="503"/>
      <c r="J2060" s="503" t="s">
        <v>37</v>
      </c>
      <c r="K2060" s="193">
        <f>+K2057*K2058/K2059</f>
        <v>144.83396625642393</v>
      </c>
      <c r="L2060" s="186" t="s">
        <v>108</v>
      </c>
      <c r="M2060" s="50"/>
      <c r="N2060" s="50"/>
      <c r="P2060" s="34"/>
      <c r="Q2060" s="5"/>
      <c r="R2060" s="35"/>
    </row>
    <row r="2061" spans="1:19" ht="30" customHeight="1" thickBot="1" x14ac:dyDescent="0.4">
      <c r="A2061" s="186"/>
      <c r="B2061" s="186"/>
      <c r="C2061" s="503"/>
      <c r="D2061" s="503"/>
      <c r="E2061" s="503"/>
      <c r="F2061" s="503"/>
      <c r="G2061" s="1374" t="s">
        <v>257</v>
      </c>
      <c r="H2061" s="1375"/>
      <c r="I2061" s="1376"/>
      <c r="J2061" s="560">
        <f>VLOOKUP(B2050,'Mil Cost Premiums for PUCs'!$A$4:$R$285,18,FALSE)</f>
        <v>1.1932356231980656</v>
      </c>
      <c r="K2061" s="193">
        <f>+K2060*J2061</f>
        <v>172.82104798623163</v>
      </c>
      <c r="L2061" s="186" t="s">
        <v>108</v>
      </c>
      <c r="M2061" s="50"/>
      <c r="N2061" s="50"/>
      <c r="P2061" s="34"/>
      <c r="Q2061" s="5"/>
      <c r="R2061" s="35"/>
    </row>
    <row r="2062" spans="1:19" ht="30" customHeight="1" thickBot="1" x14ac:dyDescent="0.4">
      <c r="A2062" s="1199"/>
      <c r="B2062" s="1200"/>
      <c r="C2062" s="1200"/>
      <c r="D2062" s="1200"/>
      <c r="E2062" s="1200"/>
      <c r="F2062" s="1200"/>
      <c r="G2062" s="1200"/>
      <c r="H2062" s="1200"/>
      <c r="I2062" s="1200"/>
      <c r="J2062" s="1200"/>
      <c r="K2062" s="1200"/>
      <c r="L2062" s="1201"/>
      <c r="N2062" s="50"/>
      <c r="P2062" s="34"/>
      <c r="Q2062" s="5"/>
      <c r="R2062" s="35"/>
    </row>
    <row r="2063" spans="1:19" ht="30" customHeight="1" x14ac:dyDescent="0.35">
      <c r="A2063" s="388" t="s">
        <v>1</v>
      </c>
      <c r="B2063" s="389">
        <v>2291</v>
      </c>
      <c r="C2063" s="1205" t="s">
        <v>994</v>
      </c>
      <c r="D2063" s="1206"/>
      <c r="E2063" s="392" t="s">
        <v>3</v>
      </c>
      <c r="F2063" s="393" t="s">
        <v>40</v>
      </c>
      <c r="G2063" s="520" t="s">
        <v>2</v>
      </c>
      <c r="H2063" s="562">
        <v>1</v>
      </c>
      <c r="I2063" s="392" t="s">
        <v>5</v>
      </c>
      <c r="J2063" s="1207" t="s">
        <v>995</v>
      </c>
      <c r="K2063" s="1207"/>
      <c r="L2063" s="1208"/>
      <c r="M2063" s="50"/>
      <c r="N2063" s="50"/>
      <c r="P2063" s="34"/>
      <c r="Q2063" s="5"/>
      <c r="R2063" s="35"/>
    </row>
    <row r="2064" spans="1:19" ht="30" customHeight="1" x14ac:dyDescent="0.35">
      <c r="A2064" s="494" t="s">
        <v>187</v>
      </c>
      <c r="B2064" s="1280" t="s">
        <v>211</v>
      </c>
      <c r="C2064" s="1281"/>
      <c r="D2064" s="1282"/>
      <c r="E2064" s="566" t="s">
        <v>52</v>
      </c>
      <c r="F2064" s="566" t="s">
        <v>53</v>
      </c>
      <c r="G2064" s="1219" t="s">
        <v>54</v>
      </c>
      <c r="H2064" s="1220"/>
      <c r="I2064" s="185" t="s">
        <v>188</v>
      </c>
      <c r="J2064" s="185" t="s">
        <v>996</v>
      </c>
      <c r="K2064" s="1209" t="s">
        <v>180</v>
      </c>
      <c r="L2064" s="1210"/>
      <c r="M2064" s="50"/>
      <c r="N2064" s="50"/>
      <c r="P2064" s="34"/>
      <c r="Q2064" s="5"/>
      <c r="R2064" s="35"/>
    </row>
    <row r="2065" spans="1:19" ht="30" customHeight="1" x14ac:dyDescent="0.35">
      <c r="A2065" s="186" t="s">
        <v>997</v>
      </c>
      <c r="B2065" s="1212" t="s">
        <v>998</v>
      </c>
      <c r="C2065" s="1213"/>
      <c r="D2065" s="1214"/>
      <c r="E2065" s="194">
        <f>+(7200+10800)/2</f>
        <v>9000</v>
      </c>
      <c r="F2065" s="186" t="s">
        <v>999</v>
      </c>
      <c r="G2065" s="186">
        <v>180</v>
      </c>
      <c r="H2065" s="188" t="s">
        <v>999</v>
      </c>
      <c r="I2065" s="186">
        <v>1.05</v>
      </c>
      <c r="J2065" s="835">
        <f>+'FY2024 MILCON Inflation Table'!D19/+'FY2024 MILCON Inflation Table'!D14</f>
        <v>1.3545159367405897</v>
      </c>
      <c r="K2065" s="194">
        <f>+E2065*I2065*G2065*J2065</f>
        <v>2304031.6083957432</v>
      </c>
      <c r="L2065" s="186" t="s">
        <v>40</v>
      </c>
      <c r="M2065" s="50"/>
      <c r="N2065" s="50"/>
      <c r="P2065" s="34"/>
      <c r="Q2065" s="5"/>
      <c r="R2065" s="35"/>
    </row>
    <row r="2066" spans="1:19" ht="30" customHeight="1" x14ac:dyDescent="0.35">
      <c r="A2066" s="186"/>
      <c r="B2066" s="1264"/>
      <c r="C2066" s="1264"/>
      <c r="D2066" s="1264"/>
      <c r="E2066" s="194"/>
      <c r="F2066" s="186"/>
      <c r="G2066" s="503"/>
      <c r="H2066" s="534"/>
      <c r="I2066" s="186"/>
      <c r="J2066" s="186" t="s">
        <v>223</v>
      </c>
      <c r="K2066" s="194">
        <f>SUM(K2065:K2065)</f>
        <v>2304031.6083957432</v>
      </c>
      <c r="L2066" s="186" t="s">
        <v>40</v>
      </c>
      <c r="M2066" s="50"/>
      <c r="N2066" s="50"/>
      <c r="P2066" s="34"/>
      <c r="Q2066" s="5"/>
      <c r="R2066" s="35"/>
    </row>
    <row r="2067" spans="1:19" ht="30" customHeight="1" x14ac:dyDescent="0.35">
      <c r="A2067" s="186"/>
      <c r="B2067" s="567"/>
      <c r="C2067" s="567"/>
      <c r="D2067" s="567"/>
      <c r="E2067" s="194"/>
      <c r="F2067" s="1215" t="s">
        <v>195</v>
      </c>
      <c r="G2067" s="1273" t="s">
        <v>196</v>
      </c>
      <c r="H2067" s="1273"/>
      <c r="I2067" s="1273"/>
      <c r="J2067" s="1273"/>
      <c r="K2067" s="186">
        <v>1.06</v>
      </c>
      <c r="L2067" s="186"/>
      <c r="M2067" s="50"/>
      <c r="N2067" s="50"/>
      <c r="O2067" s="5"/>
      <c r="P2067" s="9"/>
      <c r="Q2067" s="34"/>
      <c r="R2067" s="5"/>
      <c r="S2067" s="35"/>
    </row>
    <row r="2068" spans="1:19" ht="30" customHeight="1" x14ac:dyDescent="0.35">
      <c r="A2068" s="186"/>
      <c r="B2068" s="567"/>
      <c r="C2068" s="567"/>
      <c r="D2068" s="567"/>
      <c r="E2068" s="194"/>
      <c r="F2068" s="1216"/>
      <c r="G2068" s="1268" t="s">
        <v>3036</v>
      </c>
      <c r="H2068" s="1268"/>
      <c r="I2068" s="1268"/>
      <c r="J2068" s="1268"/>
      <c r="K2068" s="196">
        <v>1.02</v>
      </c>
      <c r="L2068" s="186"/>
      <c r="M2068" s="50"/>
      <c r="N2068" s="50"/>
      <c r="O2068" s="5"/>
      <c r="P2068" s="9"/>
      <c r="Q2068" s="34"/>
      <c r="R2068" s="5"/>
      <c r="S2068" s="35"/>
    </row>
    <row r="2069" spans="1:19" ht="30" customHeight="1" x14ac:dyDescent="0.35">
      <c r="A2069" s="186"/>
      <c r="B2069" s="186"/>
      <c r="C2069" s="503"/>
      <c r="D2069" s="503"/>
      <c r="E2069" s="503"/>
      <c r="F2069" s="503"/>
      <c r="G2069" s="503"/>
      <c r="H2069" s="503"/>
      <c r="I2069" s="503"/>
      <c r="J2069" s="503" t="s">
        <v>37</v>
      </c>
      <c r="K2069" s="193">
        <f>+K2066*K2067/K2068</f>
        <v>2394385.7891171449</v>
      </c>
      <c r="L2069" s="186" t="s">
        <v>40</v>
      </c>
      <c r="M2069" s="50"/>
      <c r="N2069" s="50"/>
      <c r="O2069" s="5"/>
      <c r="P2069" s="9"/>
      <c r="Q2069" s="34"/>
      <c r="R2069" s="5"/>
      <c r="S2069" s="35"/>
    </row>
    <row r="2070" spans="1:19" ht="30" customHeight="1" x14ac:dyDescent="0.35">
      <c r="A2070" s="186"/>
      <c r="B2070" s="186"/>
      <c r="C2070" s="503"/>
      <c r="D2070" s="503"/>
      <c r="E2070" s="503"/>
      <c r="F2070" s="503"/>
      <c r="G2070" s="1194" t="s">
        <v>257</v>
      </c>
      <c r="H2070" s="1195"/>
      <c r="I2070" s="1196"/>
      <c r="J2070" s="560">
        <f>VLOOKUP(B2063,'Mil Cost Premiums for PUCs'!$A$4:$R$285,18,FALSE)</f>
        <v>1.1233553701921195</v>
      </c>
      <c r="K2070" s="193">
        <f>+K2069*J2070</f>
        <v>2689746.1345164403</v>
      </c>
      <c r="L2070" s="186" t="s">
        <v>40</v>
      </c>
      <c r="M2070" s="50"/>
      <c r="N2070" s="50"/>
      <c r="P2070" s="34"/>
      <c r="Q2070" s="5"/>
      <c r="R2070" s="35"/>
    </row>
    <row r="2071" spans="1:19" ht="30" customHeight="1" thickBot="1" x14ac:dyDescent="0.4">
      <c r="A2071" s="186"/>
      <c r="B2071" s="186"/>
      <c r="C2071" s="503"/>
      <c r="D2071" s="503"/>
      <c r="E2071" s="503"/>
      <c r="F2071" s="503"/>
      <c r="G2071" s="1191" t="s">
        <v>3000</v>
      </c>
      <c r="H2071" s="1192"/>
      <c r="I2071" s="1193"/>
      <c r="J2071" s="560">
        <v>1.0438745311870361</v>
      </c>
      <c r="K2071" s="193">
        <f>+K2070*J2071</f>
        <v>2807757.4851804916</v>
      </c>
      <c r="L2071" s="186" t="s">
        <v>40</v>
      </c>
      <c r="M2071" s="50"/>
      <c r="N2071" s="50"/>
      <c r="P2071" s="34"/>
      <c r="Q2071" s="5"/>
      <c r="R2071" s="35"/>
    </row>
    <row r="2072" spans="1:19" ht="30" customHeight="1" thickBot="1" x14ac:dyDescent="0.4">
      <c r="A2072" s="1199"/>
      <c r="B2072" s="1200"/>
      <c r="C2072" s="1200"/>
      <c r="D2072" s="1200"/>
      <c r="E2072" s="1200"/>
      <c r="F2072" s="1200"/>
      <c r="G2072" s="1200"/>
      <c r="H2072" s="1200"/>
      <c r="I2072" s="1200"/>
      <c r="J2072" s="1200"/>
      <c r="K2072" s="1200"/>
      <c r="L2072" s="1201"/>
      <c r="M2072" s="50"/>
      <c r="O2072" s="5"/>
      <c r="P2072" s="9"/>
      <c r="Q2072" s="34"/>
      <c r="R2072" s="5"/>
      <c r="S2072" s="35"/>
    </row>
    <row r="2073" spans="1:19" ht="30" customHeight="1" x14ac:dyDescent="0.35">
      <c r="A2073" s="388" t="s">
        <v>1</v>
      </c>
      <c r="B2073" s="389">
        <v>3101</v>
      </c>
      <c r="C2073" s="1205" t="s">
        <v>1000</v>
      </c>
      <c r="D2073" s="1206"/>
      <c r="E2073" s="392" t="s">
        <v>3</v>
      </c>
      <c r="F2073" s="393" t="s">
        <v>108</v>
      </c>
      <c r="G2073" s="390" t="s">
        <v>38</v>
      </c>
      <c r="H2073" s="660">
        <v>12997</v>
      </c>
      <c r="I2073" s="392" t="s">
        <v>5</v>
      </c>
      <c r="J2073" s="1304" t="s">
        <v>2861</v>
      </c>
      <c r="K2073" s="1305"/>
      <c r="L2073" s="1306"/>
      <c r="M2073" s="50"/>
      <c r="N2073" s="50"/>
      <c r="P2073" s="34"/>
      <c r="Q2073" s="5"/>
      <c r="R2073" s="35"/>
    </row>
    <row r="2074" spans="1:19" ht="30" customHeight="1" x14ac:dyDescent="0.35">
      <c r="A2074" s="185" t="s">
        <v>177</v>
      </c>
      <c r="B2074" s="1272" t="s">
        <v>7</v>
      </c>
      <c r="C2074" s="1272"/>
      <c r="D2074" s="1272"/>
      <c r="E2074" s="492" t="s">
        <v>178</v>
      </c>
      <c r="F2074" s="397" t="s">
        <v>52</v>
      </c>
      <c r="G2074" s="185"/>
      <c r="H2074" s="185"/>
      <c r="I2074" s="1221" t="s">
        <v>179</v>
      </c>
      <c r="J2074" s="1222"/>
      <c r="K2074" s="1209" t="s">
        <v>180</v>
      </c>
      <c r="L2074" s="1210"/>
      <c r="M2074" s="50"/>
      <c r="N2074" s="50"/>
      <c r="P2074" s="34"/>
      <c r="Q2074" s="5"/>
      <c r="R2074" s="35"/>
    </row>
    <row r="2075" spans="1:19" ht="30" customHeight="1" x14ac:dyDescent="0.35">
      <c r="A2075" s="401" t="s">
        <v>181</v>
      </c>
      <c r="B2075" s="1265" t="s">
        <v>2938</v>
      </c>
      <c r="C2075" s="1265"/>
      <c r="D2075" s="1265"/>
      <c r="E2075" s="531">
        <v>19000</v>
      </c>
      <c r="F2075" s="187">
        <v>942</v>
      </c>
      <c r="G2075" s="532"/>
      <c r="H2075" s="533"/>
      <c r="I2075" s="1217" t="str">
        <f>+$I$310</f>
        <v>NA;  GUCs are as of October 2023</v>
      </c>
      <c r="J2075" s="1218"/>
      <c r="K2075" s="187">
        <f>+F2075</f>
        <v>942</v>
      </c>
      <c r="L2075" s="401" t="s">
        <v>108</v>
      </c>
      <c r="M2075" s="50"/>
      <c r="N2075" s="50"/>
      <c r="P2075" s="34"/>
      <c r="Q2075" s="5"/>
      <c r="R2075" s="35"/>
    </row>
    <row r="2076" spans="1:19" ht="30" customHeight="1" thickBot="1" x14ac:dyDescent="0.4">
      <c r="A2076" s="186"/>
      <c r="B2076" s="186"/>
      <c r="C2076" s="186"/>
      <c r="D2076" s="503"/>
      <c r="E2076" s="503"/>
      <c r="F2076" s="503"/>
      <c r="G2076" s="503"/>
      <c r="H2076" s="503"/>
      <c r="I2076" s="503"/>
      <c r="J2076" s="494" t="s">
        <v>37</v>
      </c>
      <c r="K2076" s="193">
        <f>+K2075</f>
        <v>942</v>
      </c>
      <c r="L2076" s="186" t="s">
        <v>108</v>
      </c>
      <c r="M2076" s="50"/>
      <c r="N2076" s="50"/>
      <c r="P2076" s="34"/>
      <c r="Q2076" s="5"/>
      <c r="R2076" s="35"/>
    </row>
    <row r="2077" spans="1:19" ht="30" customHeight="1" thickBot="1" x14ac:dyDescent="0.4">
      <c r="A2077" s="1199"/>
      <c r="B2077" s="1200"/>
      <c r="C2077" s="1200"/>
      <c r="D2077" s="1200"/>
      <c r="E2077" s="1200"/>
      <c r="F2077" s="1200"/>
      <c r="G2077" s="1200"/>
      <c r="H2077" s="1200"/>
      <c r="I2077" s="1200"/>
      <c r="J2077" s="1200"/>
      <c r="K2077" s="1200"/>
      <c r="L2077" s="1201"/>
      <c r="M2077" s="50"/>
      <c r="N2077" s="50"/>
      <c r="P2077" s="34"/>
      <c r="Q2077" s="5"/>
      <c r="R2077" s="35"/>
    </row>
    <row r="2078" spans="1:19" ht="30" customHeight="1" x14ac:dyDescent="0.35">
      <c r="A2078" s="388" t="s">
        <v>1</v>
      </c>
      <c r="B2078" s="389">
        <v>3102</v>
      </c>
      <c r="C2078" s="1223" t="s">
        <v>1005</v>
      </c>
      <c r="D2078" s="1224"/>
      <c r="E2078" s="392" t="s">
        <v>3</v>
      </c>
      <c r="F2078" s="393" t="s">
        <v>108</v>
      </c>
      <c r="G2078" s="390" t="s">
        <v>38</v>
      </c>
      <c r="H2078" s="660">
        <v>35389</v>
      </c>
      <c r="I2078" s="392" t="s">
        <v>5</v>
      </c>
      <c r="J2078" s="1207" t="s">
        <v>186</v>
      </c>
      <c r="K2078" s="1207"/>
      <c r="L2078" s="1208"/>
      <c r="M2078" s="50"/>
      <c r="N2078" s="50"/>
      <c r="P2078" s="34"/>
      <c r="Q2078" s="5"/>
      <c r="R2078" s="35"/>
    </row>
    <row r="2079" spans="1:19" ht="30" customHeight="1" x14ac:dyDescent="0.35">
      <c r="A2079" s="494" t="s">
        <v>187</v>
      </c>
      <c r="B2079" s="1280" t="s">
        <v>211</v>
      </c>
      <c r="C2079" s="1281"/>
      <c r="D2079" s="1282"/>
      <c r="E2079" s="566" t="s">
        <v>52</v>
      </c>
      <c r="F2079" s="566" t="s">
        <v>53</v>
      </c>
      <c r="G2079" s="1219" t="s">
        <v>54</v>
      </c>
      <c r="H2079" s="1220"/>
      <c r="I2079" s="185" t="s">
        <v>188</v>
      </c>
      <c r="J2079" s="185"/>
      <c r="K2079" s="1209" t="s">
        <v>180</v>
      </c>
      <c r="L2079" s="1210"/>
      <c r="M2079" s="50"/>
      <c r="N2079" s="50"/>
      <c r="O2079" s="5"/>
      <c r="P2079" s="9"/>
      <c r="Q2079" s="34"/>
      <c r="R2079" s="5"/>
      <c r="S2079" s="35"/>
    </row>
    <row r="2080" spans="1:19" ht="30" customHeight="1" x14ac:dyDescent="0.35">
      <c r="A2080" s="186" t="s">
        <v>254</v>
      </c>
      <c r="B2080" s="1212" t="s">
        <v>1001</v>
      </c>
      <c r="C2080" s="1213"/>
      <c r="D2080" s="1214"/>
      <c r="E2080" s="194">
        <v>242</v>
      </c>
      <c r="F2080" s="186" t="s">
        <v>108</v>
      </c>
      <c r="G2080" s="186"/>
      <c r="H2080" s="186"/>
      <c r="I2080" s="222">
        <f>(1.16+1.19)/2</f>
        <v>1.1749999999999998</v>
      </c>
      <c r="J2080" s="204"/>
      <c r="K2080" s="194">
        <f>+E2080*I2080</f>
        <v>284.34999999999997</v>
      </c>
      <c r="L2080" s="186" t="s">
        <v>108</v>
      </c>
      <c r="M2080" s="50"/>
      <c r="N2080" s="50"/>
    </row>
    <row r="2081" spans="1:19" ht="30" customHeight="1" x14ac:dyDescent="0.35">
      <c r="A2081" s="186" t="s">
        <v>254</v>
      </c>
      <c r="B2081" s="1202" t="s">
        <v>1002</v>
      </c>
      <c r="C2081" s="1203"/>
      <c r="D2081" s="1203"/>
      <c r="E2081" s="194">
        <v>37.5</v>
      </c>
      <c r="F2081" s="127" t="s">
        <v>108</v>
      </c>
      <c r="G2081" s="503"/>
      <c r="H2081" s="534"/>
      <c r="I2081" s="222">
        <f>(1.16+1.19)/2</f>
        <v>1.1749999999999998</v>
      </c>
      <c r="J2081" s="204"/>
      <c r="K2081" s="194">
        <f>+E2081*I2081</f>
        <v>44.062499999999993</v>
      </c>
      <c r="L2081" s="186" t="s">
        <v>108</v>
      </c>
      <c r="M2081" s="50"/>
      <c r="N2081" s="50"/>
      <c r="P2081" s="34"/>
      <c r="Q2081" s="5"/>
      <c r="R2081" s="35"/>
    </row>
    <row r="2082" spans="1:19" ht="30" customHeight="1" x14ac:dyDescent="0.35">
      <c r="A2082" s="186" t="s">
        <v>254</v>
      </c>
      <c r="B2082" s="1202" t="s">
        <v>1006</v>
      </c>
      <c r="C2082" s="1203"/>
      <c r="D2082" s="1204"/>
      <c r="E2082" s="194">
        <v>37.5</v>
      </c>
      <c r="F2082" s="127" t="s">
        <v>108</v>
      </c>
      <c r="G2082" s="503"/>
      <c r="H2082" s="534"/>
      <c r="I2082" s="222">
        <f>(1.16+1.19)/2</f>
        <v>1.1749999999999998</v>
      </c>
      <c r="J2082" s="204"/>
      <c r="K2082" s="194">
        <f>+E2082*I2082</f>
        <v>44.062499999999993</v>
      </c>
      <c r="L2082" s="186" t="s">
        <v>108</v>
      </c>
      <c r="M2082" s="50"/>
      <c r="N2082" s="50"/>
      <c r="P2082" s="34"/>
      <c r="Q2082" s="5"/>
      <c r="R2082" s="35"/>
    </row>
    <row r="2083" spans="1:19" ht="30" customHeight="1" x14ac:dyDescent="0.35">
      <c r="A2083" s="186" t="s">
        <v>249</v>
      </c>
      <c r="B2083" s="1202" t="s">
        <v>1007</v>
      </c>
      <c r="C2083" s="1203"/>
      <c r="D2083" s="1203"/>
      <c r="E2083" s="194">
        <v>3.44</v>
      </c>
      <c r="F2083" s="127" t="s">
        <v>108</v>
      </c>
      <c r="G2083" s="503"/>
      <c r="H2083" s="534"/>
      <c r="I2083" s="222">
        <f>(1.16+1.19)/2</f>
        <v>1.1749999999999998</v>
      </c>
      <c r="J2083" s="204"/>
      <c r="K2083" s="194">
        <f>+E2083*I2083</f>
        <v>4.0419999999999989</v>
      </c>
      <c r="L2083" s="186" t="s">
        <v>108</v>
      </c>
      <c r="M2083" s="50"/>
      <c r="N2083" s="50"/>
      <c r="P2083" s="34"/>
      <c r="Q2083" s="5"/>
      <c r="R2083" s="35"/>
    </row>
    <row r="2084" spans="1:19" ht="30" customHeight="1" x14ac:dyDescent="0.35">
      <c r="A2084" s="186"/>
      <c r="B2084" s="1264"/>
      <c r="C2084" s="1264"/>
      <c r="D2084" s="1264"/>
      <c r="E2084" s="194"/>
      <c r="F2084" s="186"/>
      <c r="G2084" s="503"/>
      <c r="H2084" s="534"/>
      <c r="I2084" s="186"/>
      <c r="J2084" s="186" t="s">
        <v>223</v>
      </c>
      <c r="K2084" s="194">
        <f>SUM(K2080:K2083)</f>
        <v>376.51699999999994</v>
      </c>
      <c r="L2084" s="186" t="s">
        <v>108</v>
      </c>
      <c r="M2084" s="50"/>
      <c r="N2084" s="50"/>
      <c r="P2084" s="34"/>
      <c r="Q2084" s="5"/>
      <c r="R2084" s="35"/>
    </row>
    <row r="2085" spans="1:19" ht="30" customHeight="1" x14ac:dyDescent="0.35">
      <c r="A2085" s="186"/>
      <c r="B2085" s="567"/>
      <c r="C2085" s="567"/>
      <c r="D2085" s="567"/>
      <c r="E2085" s="194"/>
      <c r="F2085" s="1215" t="s">
        <v>195</v>
      </c>
      <c r="G2085" s="1273" t="s">
        <v>196</v>
      </c>
      <c r="H2085" s="1273"/>
      <c r="I2085" s="1273"/>
      <c r="J2085" s="1273"/>
      <c r="K2085" s="204">
        <f>(1.05+1.08)/2</f>
        <v>1.0649999999999999</v>
      </c>
      <c r="L2085" s="186"/>
      <c r="M2085" s="50"/>
      <c r="N2085" s="50"/>
      <c r="P2085" s="34"/>
      <c r="Q2085" s="5"/>
      <c r="R2085" s="35"/>
    </row>
    <row r="2086" spans="1:19" ht="30" customHeight="1" x14ac:dyDescent="0.35">
      <c r="A2086" s="186"/>
      <c r="B2086" s="567"/>
      <c r="C2086" s="567"/>
      <c r="D2086" s="567"/>
      <c r="E2086" s="194"/>
      <c r="F2086" s="1216"/>
      <c r="G2086" s="1268" t="s">
        <v>197</v>
      </c>
      <c r="H2086" s="1268"/>
      <c r="I2086" s="1268"/>
      <c r="J2086" s="1268"/>
      <c r="K2086" s="197">
        <v>1.06</v>
      </c>
      <c r="L2086" s="186"/>
      <c r="M2086" s="50"/>
      <c r="P2086" s="34"/>
      <c r="Q2086" s="5"/>
      <c r="R2086" s="35"/>
    </row>
    <row r="2087" spans="1:19" ht="30" customHeight="1" x14ac:dyDescent="0.35">
      <c r="A2087" s="186"/>
      <c r="B2087" s="186"/>
      <c r="C2087" s="503"/>
      <c r="D2087" s="503"/>
      <c r="E2087" s="503"/>
      <c r="F2087" s="503"/>
      <c r="G2087" s="503"/>
      <c r="H2087" s="503"/>
      <c r="I2087" s="503"/>
      <c r="J2087" s="186" t="s">
        <v>37</v>
      </c>
      <c r="K2087" s="193">
        <f>+K2084*K2085/K2086</f>
        <v>378.29302358490554</v>
      </c>
      <c r="L2087" s="186" t="s">
        <v>108</v>
      </c>
      <c r="M2087" s="50"/>
      <c r="N2087" s="50"/>
      <c r="P2087" s="34"/>
      <c r="Q2087" s="5"/>
      <c r="R2087" s="35"/>
    </row>
    <row r="2088" spans="1:19" ht="30" customHeight="1" x14ac:dyDescent="0.35">
      <c r="A2088" s="186"/>
      <c r="B2088" s="186"/>
      <c r="C2088" s="503"/>
      <c r="D2088" s="503"/>
      <c r="E2088" s="503"/>
      <c r="F2088" s="503"/>
      <c r="G2088" s="1374" t="s">
        <v>257</v>
      </c>
      <c r="H2088" s="1375"/>
      <c r="I2088" s="1376"/>
      <c r="J2088" s="560">
        <f>VLOOKUP(B2078,'Mil Cost Premiums for PUCs'!$A$4:$R$285,18,FALSE)</f>
        <v>1.3319480854780448</v>
      </c>
      <c r="K2088" s="193">
        <f>+K2087*J2088</f>
        <v>503.86666851361576</v>
      </c>
      <c r="L2088" s="186" t="s">
        <v>108</v>
      </c>
      <c r="M2088" s="50"/>
      <c r="N2088" s="50"/>
      <c r="P2088" s="34"/>
      <c r="Q2088" s="5"/>
      <c r="R2088" s="35"/>
    </row>
    <row r="2089" spans="1:19" ht="30" customHeight="1" x14ac:dyDescent="0.35">
      <c r="A2089" s="569"/>
      <c r="B2089" s="569"/>
      <c r="C2089" s="510"/>
      <c r="D2089" s="510"/>
      <c r="E2089" s="510"/>
      <c r="F2089" s="510"/>
      <c r="G2089" s="1191" t="s">
        <v>2817</v>
      </c>
      <c r="H2089" s="1192"/>
      <c r="I2089" s="1193"/>
      <c r="J2089" s="570">
        <v>1.1214</v>
      </c>
      <c r="K2089" s="285">
        <f>+K2088*J2089</f>
        <v>565.03608207116872</v>
      </c>
      <c r="L2089" s="755" t="s">
        <v>108</v>
      </c>
      <c r="M2089" s="50"/>
      <c r="N2089" s="50"/>
      <c r="P2089" s="34"/>
      <c r="Q2089" s="5"/>
      <c r="R2089" s="35"/>
    </row>
    <row r="2090" spans="1:19" ht="30" customHeight="1" x14ac:dyDescent="0.35">
      <c r="A2090" s="569"/>
      <c r="B2090" s="569"/>
      <c r="C2090" s="510"/>
      <c r="D2090" s="510"/>
      <c r="E2090" s="510"/>
      <c r="F2090" s="510"/>
      <c r="G2090" s="1191" t="s">
        <v>3000</v>
      </c>
      <c r="H2090" s="1192"/>
      <c r="I2090" s="1193"/>
      <c r="J2090" s="570">
        <v>1.0438745311870361</v>
      </c>
      <c r="K2090" s="285">
        <f>+K2089*J2090</f>
        <v>589.82677527580086</v>
      </c>
      <c r="L2090" s="755" t="s">
        <v>108</v>
      </c>
      <c r="M2090" s="50"/>
      <c r="N2090" s="50"/>
      <c r="P2090" s="34"/>
      <c r="Q2090" s="5"/>
      <c r="R2090" s="35"/>
    </row>
    <row r="2091" spans="1:19" ht="30" customHeight="1" x14ac:dyDescent="0.35">
      <c r="A2091" s="1274" t="s">
        <v>198</v>
      </c>
      <c r="B2091" s="1275"/>
      <c r="C2091" s="1275"/>
      <c r="D2091" s="1275"/>
      <c r="E2091" s="1275"/>
      <c r="F2091" s="1275"/>
      <c r="G2091" s="1275"/>
      <c r="H2091" s="1275"/>
      <c r="I2091" s="1275"/>
      <c r="J2091" s="1275"/>
      <c r="K2091" s="1275"/>
      <c r="L2091" s="1276"/>
      <c r="M2091" s="50"/>
      <c r="N2091" s="50"/>
      <c r="P2091" s="34"/>
      <c r="Q2091" s="5"/>
      <c r="R2091" s="35"/>
    </row>
    <row r="2092" spans="1:19" ht="30" customHeight="1" x14ac:dyDescent="0.35">
      <c r="A2092" s="1389" t="s">
        <v>199</v>
      </c>
      <c r="B2092" s="1390"/>
      <c r="C2092" s="1391"/>
      <c r="D2092" s="1274" t="s">
        <v>1004</v>
      </c>
      <c r="E2092" s="1275"/>
      <c r="F2092" s="1275"/>
      <c r="G2092" s="1275"/>
      <c r="H2092" s="1275"/>
      <c r="I2092" s="1275"/>
      <c r="J2092" s="1275"/>
      <c r="K2092" s="1275"/>
      <c r="L2092" s="1276"/>
      <c r="M2092" s="50"/>
    </row>
    <row r="2093" spans="1:19" ht="30" customHeight="1" x14ac:dyDescent="0.35">
      <c r="A2093" s="1389" t="s">
        <v>200</v>
      </c>
      <c r="B2093" s="1390"/>
      <c r="C2093" s="1391"/>
      <c r="D2093" s="1274" t="s">
        <v>1008</v>
      </c>
      <c r="E2093" s="1275"/>
      <c r="F2093" s="1275"/>
      <c r="G2093" s="1275"/>
      <c r="H2093" s="1275"/>
      <c r="I2093" s="1275"/>
      <c r="J2093" s="1275"/>
      <c r="K2093" s="1275"/>
      <c r="L2093" s="1276"/>
      <c r="M2093" s="50"/>
      <c r="N2093" s="50"/>
      <c r="O2093" s="5"/>
      <c r="P2093" s="9"/>
      <c r="Q2093" s="34"/>
      <c r="R2093" s="5"/>
      <c r="S2093" s="35"/>
    </row>
    <row r="2094" spans="1:19" ht="30" customHeight="1" x14ac:dyDescent="0.35">
      <c r="A2094" s="1389" t="s">
        <v>201</v>
      </c>
      <c r="B2094" s="1390"/>
      <c r="C2094" s="1391"/>
      <c r="D2094" s="1274" t="s">
        <v>1009</v>
      </c>
      <c r="E2094" s="1275"/>
      <c r="F2094" s="1275"/>
      <c r="G2094" s="1275"/>
      <c r="H2094" s="1275"/>
      <c r="I2094" s="1275"/>
      <c r="J2094" s="1275"/>
      <c r="K2094" s="1275"/>
      <c r="L2094" s="1276"/>
      <c r="M2094" s="50"/>
      <c r="N2094" s="50"/>
      <c r="O2094" s="5"/>
      <c r="P2094" s="9"/>
      <c r="Q2094" s="34"/>
      <c r="R2094" s="5"/>
      <c r="S2094" s="35"/>
    </row>
    <row r="2095" spans="1:19" ht="30" customHeight="1" x14ac:dyDescent="0.35">
      <c r="A2095" s="1389" t="s">
        <v>202</v>
      </c>
      <c r="B2095" s="1390"/>
      <c r="C2095" s="1391"/>
      <c r="D2095" s="1274" t="s">
        <v>1010</v>
      </c>
      <c r="E2095" s="1275"/>
      <c r="F2095" s="1275"/>
      <c r="G2095" s="1275"/>
      <c r="H2095" s="1275"/>
      <c r="I2095" s="1275"/>
      <c r="J2095" s="1275"/>
      <c r="K2095" s="1275"/>
      <c r="L2095" s="1276"/>
      <c r="M2095" s="50"/>
      <c r="N2095" s="50"/>
      <c r="O2095" s="5"/>
      <c r="P2095" s="9"/>
      <c r="Q2095" s="34"/>
      <c r="R2095" s="5"/>
      <c r="S2095" s="35"/>
    </row>
    <row r="2096" spans="1:19" ht="30" customHeight="1" x14ac:dyDescent="0.35">
      <c r="A2096" s="1389" t="s">
        <v>203</v>
      </c>
      <c r="B2096" s="1390"/>
      <c r="C2096" s="1391"/>
      <c r="D2096" s="1274" t="s">
        <v>1011</v>
      </c>
      <c r="E2096" s="1275"/>
      <c r="F2096" s="1275"/>
      <c r="G2096" s="1275"/>
      <c r="H2096" s="1275"/>
      <c r="I2096" s="1275"/>
      <c r="J2096" s="1275"/>
      <c r="K2096" s="1275"/>
      <c r="L2096" s="1276"/>
      <c r="M2096" s="50"/>
      <c r="N2096" s="50"/>
      <c r="O2096" s="5"/>
      <c r="P2096" s="9"/>
      <c r="Q2096" s="34"/>
      <c r="R2096" s="5"/>
      <c r="S2096" s="35"/>
    </row>
    <row r="2097" spans="1:19" ht="30" customHeight="1" x14ac:dyDescent="0.35">
      <c r="A2097" s="1389" t="s">
        <v>205</v>
      </c>
      <c r="B2097" s="1390"/>
      <c r="C2097" s="1391"/>
      <c r="D2097" s="1274" t="s">
        <v>780</v>
      </c>
      <c r="E2097" s="1275"/>
      <c r="F2097" s="1275"/>
      <c r="G2097" s="1275"/>
      <c r="H2097" s="1275"/>
      <c r="I2097" s="1275"/>
      <c r="J2097" s="1275"/>
      <c r="K2097" s="1275"/>
      <c r="L2097" s="1276"/>
      <c r="M2097" s="50"/>
      <c r="N2097" s="50"/>
      <c r="O2097" s="5"/>
      <c r="P2097" s="9"/>
      <c r="Q2097" s="34"/>
      <c r="R2097" s="5"/>
      <c r="S2097" s="35"/>
    </row>
    <row r="2098" spans="1:19" ht="30" customHeight="1" x14ac:dyDescent="0.35">
      <c r="A2098" s="1389" t="s">
        <v>207</v>
      </c>
      <c r="B2098" s="1390"/>
      <c r="C2098" s="1391"/>
      <c r="D2098" s="1274" t="s">
        <v>1012</v>
      </c>
      <c r="E2098" s="1275"/>
      <c r="F2098" s="1275"/>
      <c r="G2098" s="1275"/>
      <c r="H2098" s="1275"/>
      <c r="I2098" s="1275"/>
      <c r="J2098" s="1275"/>
      <c r="K2098" s="1275"/>
      <c r="L2098" s="1276"/>
      <c r="M2098" s="50"/>
      <c r="N2098" s="50"/>
      <c r="O2098" s="5"/>
      <c r="P2098" s="9"/>
      <c r="Q2098" s="34"/>
      <c r="R2098" s="5"/>
      <c r="S2098" s="35"/>
    </row>
    <row r="2099" spans="1:19" ht="30" customHeight="1" x14ac:dyDescent="0.35">
      <c r="A2099" s="1389" t="s">
        <v>208</v>
      </c>
      <c r="B2099" s="1390"/>
      <c r="C2099" s="1391"/>
      <c r="D2099" s="1274" t="s">
        <v>265</v>
      </c>
      <c r="E2099" s="1275"/>
      <c r="F2099" s="1275"/>
      <c r="G2099" s="1275"/>
      <c r="H2099" s="1275"/>
      <c r="I2099" s="1275"/>
      <c r="J2099" s="1275"/>
      <c r="K2099" s="1275"/>
      <c r="L2099" s="1276"/>
      <c r="M2099" s="50"/>
      <c r="N2099" s="50"/>
      <c r="O2099" s="5"/>
      <c r="P2099" s="9"/>
      <c r="Q2099" s="34"/>
      <c r="R2099" s="5"/>
      <c r="S2099" s="35"/>
    </row>
    <row r="2100" spans="1:19" ht="30" customHeight="1" thickBot="1" x14ac:dyDescent="0.4">
      <c r="A2100" s="1389" t="s">
        <v>224</v>
      </c>
      <c r="B2100" s="1390"/>
      <c r="C2100" s="1391"/>
      <c r="D2100" s="1553" t="s">
        <v>2443</v>
      </c>
      <c r="E2100" s="1554"/>
      <c r="F2100" s="1554"/>
      <c r="G2100" s="1554"/>
      <c r="H2100" s="1554"/>
      <c r="I2100" s="1554"/>
      <c r="J2100" s="1554"/>
      <c r="K2100" s="1554"/>
      <c r="L2100" s="1555"/>
      <c r="M2100" s="50"/>
      <c r="N2100" s="50"/>
      <c r="O2100" s="5"/>
      <c r="P2100" s="9"/>
      <c r="Q2100" s="34"/>
      <c r="R2100" s="5"/>
      <c r="S2100" s="35"/>
    </row>
    <row r="2101" spans="1:19" ht="30" customHeight="1" thickBot="1" x14ac:dyDescent="0.4">
      <c r="A2101" s="1199"/>
      <c r="B2101" s="1200"/>
      <c r="C2101" s="1200"/>
      <c r="D2101" s="1200"/>
      <c r="E2101" s="1200"/>
      <c r="F2101" s="1200"/>
      <c r="G2101" s="1200"/>
      <c r="H2101" s="1200"/>
      <c r="I2101" s="1200"/>
      <c r="J2101" s="1200"/>
      <c r="K2101" s="1200"/>
      <c r="L2101" s="1201"/>
      <c r="M2101" s="50"/>
      <c r="N2101" s="50"/>
      <c r="O2101" s="5"/>
      <c r="P2101" s="9"/>
      <c r="Q2101" s="34"/>
      <c r="R2101" s="5"/>
      <c r="S2101" s="35"/>
    </row>
    <row r="2102" spans="1:19" ht="30" customHeight="1" x14ac:dyDescent="0.35">
      <c r="A2102" s="388" t="s">
        <v>1</v>
      </c>
      <c r="B2102" s="389">
        <v>3103</v>
      </c>
      <c r="C2102" s="1205" t="s">
        <v>1013</v>
      </c>
      <c r="D2102" s="1206"/>
      <c r="E2102" s="392" t="s">
        <v>3</v>
      </c>
      <c r="F2102" s="393" t="s">
        <v>108</v>
      </c>
      <c r="G2102" s="390" t="s">
        <v>38</v>
      </c>
      <c r="H2102" s="660">
        <v>8154</v>
      </c>
      <c r="I2102" s="392" t="s">
        <v>5</v>
      </c>
      <c r="J2102" s="1207" t="s">
        <v>390</v>
      </c>
      <c r="K2102" s="1207"/>
      <c r="L2102" s="1208"/>
      <c r="M2102" s="50"/>
      <c r="N2102" s="50"/>
      <c r="O2102" s="5"/>
      <c r="P2102" s="9"/>
      <c r="Q2102" s="34"/>
      <c r="R2102" s="5"/>
      <c r="S2102" s="35"/>
    </row>
    <row r="2103" spans="1:19" ht="30" customHeight="1" x14ac:dyDescent="0.35">
      <c r="A2103" s="494" t="s">
        <v>187</v>
      </c>
      <c r="B2103" s="1280" t="s">
        <v>211</v>
      </c>
      <c r="C2103" s="1281"/>
      <c r="D2103" s="1282"/>
      <c r="E2103" s="566" t="s">
        <v>52</v>
      </c>
      <c r="F2103" s="566" t="s">
        <v>53</v>
      </c>
      <c r="G2103" s="1219" t="s">
        <v>54</v>
      </c>
      <c r="H2103" s="1220"/>
      <c r="I2103" s="185" t="s">
        <v>188</v>
      </c>
      <c r="J2103" s="185"/>
      <c r="K2103" s="1209" t="s">
        <v>180</v>
      </c>
      <c r="L2103" s="1210"/>
      <c r="M2103" s="50"/>
      <c r="N2103" s="50"/>
      <c r="O2103" s="5"/>
      <c r="P2103" s="9"/>
      <c r="Q2103" s="34"/>
      <c r="R2103" s="5"/>
      <c r="S2103" s="35"/>
    </row>
    <row r="2104" spans="1:19" ht="30" customHeight="1" x14ac:dyDescent="0.35">
      <c r="A2104" s="186" t="s">
        <v>254</v>
      </c>
      <c r="B2104" s="1212" t="s">
        <v>1014</v>
      </c>
      <c r="C2104" s="1213"/>
      <c r="D2104" s="1214"/>
      <c r="E2104" s="194">
        <f>242-2.64</f>
        <v>239.36</v>
      </c>
      <c r="F2104" s="186" t="s">
        <v>108</v>
      </c>
      <c r="G2104" s="127"/>
      <c r="H2104" s="136"/>
      <c r="I2104" s="186">
        <v>1.01</v>
      </c>
      <c r="J2104" s="204"/>
      <c r="K2104" s="194">
        <f>+E2104*I2104</f>
        <v>241.75360000000001</v>
      </c>
      <c r="L2104" s="186" t="s">
        <v>108</v>
      </c>
      <c r="M2104" s="50"/>
      <c r="N2104" s="50"/>
      <c r="O2104" s="5"/>
      <c r="P2104" s="9"/>
      <c r="Q2104" s="34"/>
      <c r="R2104" s="5"/>
      <c r="S2104" s="35"/>
    </row>
    <row r="2105" spans="1:19" ht="30" customHeight="1" x14ac:dyDescent="0.35">
      <c r="A2105" s="186" t="s">
        <v>254</v>
      </c>
      <c r="B2105" s="1202" t="s">
        <v>1015</v>
      </c>
      <c r="C2105" s="1203"/>
      <c r="D2105" s="1203"/>
      <c r="E2105" s="194">
        <v>37.5</v>
      </c>
      <c r="F2105" s="127" t="s">
        <v>108</v>
      </c>
      <c r="G2105" s="117"/>
      <c r="H2105" s="554"/>
      <c r="I2105" s="186">
        <v>1.01</v>
      </c>
      <c r="J2105" s="204"/>
      <c r="K2105" s="194">
        <f>+E2105*I2105</f>
        <v>37.875</v>
      </c>
      <c r="L2105" s="186" t="s">
        <v>108</v>
      </c>
      <c r="M2105" s="50"/>
      <c r="N2105" s="50"/>
      <c r="O2105" s="5"/>
      <c r="P2105" s="9"/>
      <c r="Q2105" s="34"/>
      <c r="R2105" s="5"/>
      <c r="S2105" s="35"/>
    </row>
    <row r="2106" spans="1:19" ht="30" customHeight="1" x14ac:dyDescent="0.35">
      <c r="A2106" s="186" t="s">
        <v>1016</v>
      </c>
      <c r="B2106" s="1212" t="s">
        <v>1017</v>
      </c>
      <c r="C2106" s="1213"/>
      <c r="D2106" s="1213"/>
      <c r="E2106" s="194">
        <v>165000</v>
      </c>
      <c r="F2106" s="127" t="s">
        <v>40</v>
      </c>
      <c r="G2106" s="722">
        <f>+H2102</f>
        <v>8154</v>
      </c>
      <c r="H2106" s="554" t="s">
        <v>933</v>
      </c>
      <c r="I2106" s="204">
        <v>1.02</v>
      </c>
      <c r="J2106" s="204"/>
      <c r="K2106" s="194">
        <f>+(E2106*6)/G2106*I2106</f>
        <v>123.841059602649</v>
      </c>
      <c r="L2106" s="186" t="s">
        <v>108</v>
      </c>
      <c r="M2106" s="50"/>
      <c r="N2106" s="50"/>
      <c r="O2106" s="5"/>
      <c r="P2106" s="9"/>
      <c r="Q2106" s="34"/>
      <c r="R2106" s="5"/>
      <c r="S2106" s="35"/>
    </row>
    <row r="2107" spans="1:19" ht="30" customHeight="1" x14ac:dyDescent="0.35">
      <c r="A2107" s="186" t="s">
        <v>249</v>
      </c>
      <c r="B2107" s="1202" t="s">
        <v>984</v>
      </c>
      <c r="C2107" s="1203"/>
      <c r="D2107" s="1203"/>
      <c r="E2107" s="194">
        <v>4.38</v>
      </c>
      <c r="F2107" s="127" t="s">
        <v>108</v>
      </c>
      <c r="G2107" s="117"/>
      <c r="H2107" s="554"/>
      <c r="I2107" s="186">
        <v>1.01</v>
      </c>
      <c r="J2107" s="204"/>
      <c r="K2107" s="194">
        <f>+E2107*I2107</f>
        <v>4.4238</v>
      </c>
      <c r="L2107" s="186" t="s">
        <v>108</v>
      </c>
      <c r="M2107" s="50"/>
      <c r="N2107" s="50"/>
      <c r="P2107" s="34"/>
      <c r="Q2107" s="5"/>
      <c r="R2107" s="35"/>
    </row>
    <row r="2108" spans="1:19" ht="30" customHeight="1" x14ac:dyDescent="0.35">
      <c r="A2108" s="186"/>
      <c r="B2108" s="1264"/>
      <c r="C2108" s="1264"/>
      <c r="D2108" s="1264"/>
      <c r="E2108" s="194"/>
      <c r="F2108" s="186"/>
      <c r="G2108" s="503"/>
      <c r="H2108" s="534"/>
      <c r="I2108" s="186"/>
      <c r="J2108" s="186" t="s">
        <v>223</v>
      </c>
      <c r="K2108" s="194">
        <f>SUM(K2104:K2107)</f>
        <v>407.89345960264905</v>
      </c>
      <c r="L2108" s="186" t="s">
        <v>108</v>
      </c>
      <c r="M2108" s="50"/>
      <c r="N2108" s="50"/>
      <c r="O2108" s="5"/>
      <c r="P2108" s="9"/>
      <c r="Q2108" s="34"/>
      <c r="R2108" s="5"/>
      <c r="S2108" s="35"/>
    </row>
    <row r="2109" spans="1:19" ht="30" customHeight="1" x14ac:dyDescent="0.35">
      <c r="A2109" s="186"/>
      <c r="B2109" s="567"/>
      <c r="C2109" s="567"/>
      <c r="D2109" s="567"/>
      <c r="E2109" s="194"/>
      <c r="F2109" s="1215" t="s">
        <v>195</v>
      </c>
      <c r="G2109" s="1273" t="s">
        <v>196</v>
      </c>
      <c r="H2109" s="1273"/>
      <c r="I2109" s="1273"/>
      <c r="J2109" s="1273"/>
      <c r="K2109" s="204">
        <f>(1.08+1.1)/2</f>
        <v>1.0900000000000001</v>
      </c>
      <c r="L2109" s="186"/>
      <c r="M2109" s="50"/>
      <c r="N2109" s="50"/>
      <c r="O2109" s="5"/>
      <c r="P2109" s="9"/>
      <c r="Q2109" s="34"/>
      <c r="R2109" s="5"/>
      <c r="S2109" s="35"/>
    </row>
    <row r="2110" spans="1:19" ht="30" customHeight="1" x14ac:dyDescent="0.35">
      <c r="A2110" s="186"/>
      <c r="B2110" s="567"/>
      <c r="C2110" s="567"/>
      <c r="D2110" s="567"/>
      <c r="E2110" s="194"/>
      <c r="F2110" s="1216"/>
      <c r="G2110" s="1268" t="s">
        <v>276</v>
      </c>
      <c r="H2110" s="1268"/>
      <c r="I2110" s="1268"/>
      <c r="J2110" s="1268"/>
      <c r="K2110" s="197">
        <v>1.08</v>
      </c>
      <c r="L2110" s="186"/>
      <c r="M2110" s="50"/>
      <c r="N2110" s="50"/>
      <c r="O2110" s="5"/>
      <c r="P2110" s="9"/>
      <c r="Q2110" s="34"/>
      <c r="R2110" s="5"/>
      <c r="S2110" s="35"/>
    </row>
    <row r="2111" spans="1:19" ht="30" customHeight="1" x14ac:dyDescent="0.35">
      <c r="A2111" s="186"/>
      <c r="B2111" s="1564"/>
      <c r="C2111" s="1565"/>
      <c r="D2111" s="1566"/>
      <c r="E2111" s="503"/>
      <c r="F2111" s="503"/>
      <c r="G2111" s="503"/>
      <c r="H2111" s="503"/>
      <c r="I2111" s="503"/>
      <c r="J2111" s="503" t="s">
        <v>37</v>
      </c>
      <c r="K2111" s="193">
        <f>+K2108*K2109/K2110</f>
        <v>411.67025089526618</v>
      </c>
      <c r="L2111" s="186" t="s">
        <v>108</v>
      </c>
      <c r="M2111" s="50"/>
      <c r="N2111" s="50"/>
      <c r="O2111" s="5"/>
      <c r="P2111" s="9"/>
      <c r="Q2111" s="34"/>
      <c r="R2111" s="5"/>
      <c r="S2111" s="35"/>
    </row>
    <row r="2112" spans="1:19" ht="30" customHeight="1" x14ac:dyDescent="0.35">
      <c r="A2112" s="186"/>
      <c r="B2112" s="186"/>
      <c r="C2112" s="503"/>
      <c r="D2112" s="503"/>
      <c r="E2112" s="503"/>
      <c r="F2112" s="503"/>
      <c r="G2112" s="1374" t="s">
        <v>257</v>
      </c>
      <c r="H2112" s="1375"/>
      <c r="I2112" s="1376"/>
      <c r="J2112" s="560">
        <f>VLOOKUP(B2102,'Mil Cost Premiums for PUCs'!$A$4:$R$285,18,FALSE)</f>
        <v>1.3319480854780448</v>
      </c>
      <c r="K2112" s="193">
        <f>+K2111*J2112</f>
        <v>548.32340252821609</v>
      </c>
      <c r="L2112" s="186" t="s">
        <v>108</v>
      </c>
      <c r="M2112" s="50"/>
      <c r="N2112" s="50"/>
      <c r="O2112" s="5"/>
      <c r="P2112" s="9"/>
      <c r="Q2112" s="34"/>
      <c r="R2112" s="5"/>
      <c r="S2112" s="35"/>
    </row>
    <row r="2113" spans="1:19" ht="30" customHeight="1" x14ac:dyDescent="0.35">
      <c r="A2113" s="897"/>
      <c r="B2113" s="897"/>
      <c r="C2113" s="901"/>
      <c r="D2113" s="901"/>
      <c r="E2113" s="914"/>
      <c r="F2113" s="1415" t="s">
        <v>277</v>
      </c>
      <c r="G2113" s="1415"/>
      <c r="H2113" s="1415"/>
      <c r="I2113" s="1415"/>
      <c r="J2113" s="906">
        <v>1.0833999999999999</v>
      </c>
      <c r="K2113" s="724">
        <f>K2112*J2113</f>
        <v>594.05357429906928</v>
      </c>
      <c r="L2113" s="755" t="s">
        <v>108</v>
      </c>
      <c r="M2113" s="50"/>
      <c r="N2113" s="50"/>
      <c r="O2113" s="5"/>
      <c r="P2113" s="9"/>
      <c r="Q2113" s="34"/>
      <c r="R2113" s="5"/>
      <c r="S2113" s="35"/>
    </row>
    <row r="2114" spans="1:19" ht="30" customHeight="1" x14ac:dyDescent="0.35">
      <c r="A2114" s="569"/>
      <c r="B2114" s="569"/>
      <c r="C2114" s="510"/>
      <c r="D2114" s="510"/>
      <c r="E2114" s="510"/>
      <c r="F2114" s="510"/>
      <c r="G2114" s="1191" t="s">
        <v>2817</v>
      </c>
      <c r="H2114" s="1192"/>
      <c r="I2114" s="1193"/>
      <c r="J2114" s="570">
        <v>1.1214</v>
      </c>
      <c r="K2114" s="285">
        <f>+K2113*J2114</f>
        <v>666.17167821897624</v>
      </c>
      <c r="L2114" s="755" t="s">
        <v>108</v>
      </c>
      <c r="M2114" s="50"/>
      <c r="N2114" s="50"/>
      <c r="O2114" s="5"/>
      <c r="P2114" s="9"/>
      <c r="Q2114" s="34"/>
      <c r="R2114" s="5"/>
      <c r="S2114" s="35"/>
    </row>
    <row r="2115" spans="1:19" ht="30" customHeight="1" thickBot="1" x14ac:dyDescent="0.4">
      <c r="A2115" s="569"/>
      <c r="B2115" s="569"/>
      <c r="C2115" s="510"/>
      <c r="D2115" s="510"/>
      <c r="E2115" s="510"/>
      <c r="F2115" s="510"/>
      <c r="G2115" s="1191" t="s">
        <v>3000</v>
      </c>
      <c r="H2115" s="1192"/>
      <c r="I2115" s="1193"/>
      <c r="J2115" s="570">
        <v>1.0438745311870361</v>
      </c>
      <c r="K2115" s="285">
        <f>+K2114*J2115</f>
        <v>695.39964829091491</v>
      </c>
      <c r="L2115" s="755" t="s">
        <v>108</v>
      </c>
      <c r="M2115" s="50"/>
      <c r="N2115" s="50"/>
      <c r="O2115" s="5"/>
      <c r="P2115" s="9"/>
      <c r="Q2115" s="34"/>
      <c r="R2115" s="5"/>
      <c r="S2115" s="35"/>
    </row>
    <row r="2116" spans="1:19" ht="45" customHeight="1" thickBot="1" x14ac:dyDescent="0.4">
      <c r="A2116" s="1199"/>
      <c r="B2116" s="1200"/>
      <c r="C2116" s="1200"/>
      <c r="D2116" s="1200"/>
      <c r="E2116" s="1200"/>
      <c r="F2116" s="1200"/>
      <c r="G2116" s="1200"/>
      <c r="H2116" s="1200"/>
      <c r="I2116" s="1200"/>
      <c r="J2116" s="1200"/>
      <c r="K2116" s="1200"/>
      <c r="L2116" s="1201"/>
      <c r="N2116" s="50"/>
      <c r="O2116" s="5"/>
      <c r="P2116" s="9"/>
      <c r="Q2116" s="34"/>
      <c r="R2116" s="5"/>
      <c r="S2116" s="35"/>
    </row>
    <row r="2117" spans="1:19" ht="30" customHeight="1" x14ac:dyDescent="0.35">
      <c r="A2117" s="388" t="s">
        <v>1</v>
      </c>
      <c r="B2117" s="389">
        <v>3104</v>
      </c>
      <c r="C2117" s="1205" t="s">
        <v>1018</v>
      </c>
      <c r="D2117" s="1206"/>
      <c r="E2117" s="392" t="s">
        <v>3</v>
      </c>
      <c r="F2117" s="393" t="s">
        <v>108</v>
      </c>
      <c r="G2117" s="390" t="s">
        <v>38</v>
      </c>
      <c r="H2117" s="562">
        <v>417</v>
      </c>
      <c r="I2117" s="392" t="s">
        <v>5</v>
      </c>
      <c r="J2117" s="1207" t="s">
        <v>390</v>
      </c>
      <c r="K2117" s="1207"/>
      <c r="L2117" s="1208"/>
      <c r="M2117" s="50"/>
      <c r="O2117" s="5"/>
      <c r="P2117" s="9"/>
      <c r="Q2117" s="34"/>
      <c r="R2117" s="5"/>
      <c r="S2117" s="35"/>
    </row>
    <row r="2118" spans="1:19" ht="30" customHeight="1" x14ac:dyDescent="0.35">
      <c r="A2118" s="494" t="s">
        <v>187</v>
      </c>
      <c r="B2118" s="1280" t="s">
        <v>211</v>
      </c>
      <c r="C2118" s="1281"/>
      <c r="D2118" s="1282"/>
      <c r="E2118" s="566" t="s">
        <v>52</v>
      </c>
      <c r="F2118" s="566" t="s">
        <v>53</v>
      </c>
      <c r="G2118" s="1219" t="s">
        <v>54</v>
      </c>
      <c r="H2118" s="1220"/>
      <c r="I2118" s="185" t="s">
        <v>188</v>
      </c>
      <c r="J2118" s="185"/>
      <c r="K2118" s="1209" t="s">
        <v>180</v>
      </c>
      <c r="L2118" s="1210"/>
      <c r="M2118" s="50"/>
      <c r="N2118" s="50"/>
      <c r="O2118" s="5"/>
      <c r="P2118" s="9"/>
      <c r="Q2118" s="34"/>
      <c r="R2118" s="5"/>
      <c r="S2118" s="35"/>
    </row>
    <row r="2119" spans="1:19" ht="30" customHeight="1" x14ac:dyDescent="0.35">
      <c r="A2119" s="186" t="s">
        <v>254</v>
      </c>
      <c r="B2119" s="1212" t="s">
        <v>1014</v>
      </c>
      <c r="C2119" s="1213"/>
      <c r="D2119" s="1214"/>
      <c r="E2119" s="194">
        <f>242-2.64</f>
        <v>239.36</v>
      </c>
      <c r="F2119" s="186" t="s">
        <v>108</v>
      </c>
      <c r="G2119" s="127"/>
      <c r="H2119" s="136"/>
      <c r="I2119" s="186">
        <v>1.01</v>
      </c>
      <c r="J2119" s="204"/>
      <c r="K2119" s="194">
        <f>+E2119*I2119</f>
        <v>241.75360000000001</v>
      </c>
      <c r="L2119" s="186" t="s">
        <v>108</v>
      </c>
      <c r="M2119" s="50"/>
      <c r="N2119" s="50"/>
      <c r="O2119" s="5"/>
      <c r="P2119" s="9"/>
      <c r="Q2119" s="34"/>
      <c r="R2119" s="5"/>
      <c r="S2119" s="35"/>
    </row>
    <row r="2120" spans="1:19" ht="30" customHeight="1" x14ac:dyDescent="0.35">
      <c r="A2120" s="186" t="s">
        <v>254</v>
      </c>
      <c r="B2120" s="1202" t="s">
        <v>1015</v>
      </c>
      <c r="C2120" s="1203"/>
      <c r="D2120" s="1203"/>
      <c r="E2120" s="194">
        <v>37.5</v>
      </c>
      <c r="F2120" s="127" t="s">
        <v>108</v>
      </c>
      <c r="G2120" s="117"/>
      <c r="H2120" s="554"/>
      <c r="I2120" s="186">
        <v>1.01</v>
      </c>
      <c r="J2120" s="204"/>
      <c r="K2120" s="194">
        <f>+E2120*I2120</f>
        <v>37.875</v>
      </c>
      <c r="L2120" s="186" t="s">
        <v>108</v>
      </c>
      <c r="M2120" s="50"/>
      <c r="N2120" s="50"/>
      <c r="O2120" s="5"/>
      <c r="P2120" s="9"/>
      <c r="Q2120" s="34"/>
      <c r="R2120" s="5"/>
      <c r="S2120" s="35"/>
    </row>
    <row r="2121" spans="1:19" ht="30" customHeight="1" x14ac:dyDescent="0.35">
      <c r="A2121" s="186" t="s">
        <v>1016</v>
      </c>
      <c r="B2121" s="1212" t="s">
        <v>1019</v>
      </c>
      <c r="C2121" s="1213"/>
      <c r="D2121" s="1214"/>
      <c r="E2121" s="194">
        <v>117000</v>
      </c>
      <c r="F2121" s="127" t="s">
        <v>40</v>
      </c>
      <c r="G2121" s="117">
        <f>+H2117</f>
        <v>417</v>
      </c>
      <c r="H2121" s="554" t="s">
        <v>933</v>
      </c>
      <c r="I2121" s="204">
        <v>1.02</v>
      </c>
      <c r="J2121" s="204"/>
      <c r="K2121" s="194">
        <f>+(E2121*1)/G2121*I2121</f>
        <v>286.18705035971226</v>
      </c>
      <c r="L2121" s="186" t="s">
        <v>108</v>
      </c>
      <c r="M2121" s="50"/>
      <c r="N2121" s="50"/>
      <c r="O2121" s="5"/>
      <c r="P2121" s="9"/>
      <c r="Q2121" s="34"/>
      <c r="R2121" s="5"/>
      <c r="S2121" s="35"/>
    </row>
    <row r="2122" spans="1:19" ht="30" customHeight="1" x14ac:dyDescent="0.35">
      <c r="A2122" s="186" t="s">
        <v>249</v>
      </c>
      <c r="B2122" s="1202" t="s">
        <v>1020</v>
      </c>
      <c r="C2122" s="1203"/>
      <c r="D2122" s="1204"/>
      <c r="E2122" s="194">
        <v>5.52</v>
      </c>
      <c r="F2122" s="127" t="s">
        <v>108</v>
      </c>
      <c r="G2122" s="117"/>
      <c r="H2122" s="554"/>
      <c r="I2122" s="186">
        <v>1.01</v>
      </c>
      <c r="J2122" s="204"/>
      <c r="K2122" s="194">
        <f>+E2122*I2122</f>
        <v>5.5751999999999997</v>
      </c>
      <c r="L2122" s="186" t="s">
        <v>108</v>
      </c>
      <c r="M2122" s="97"/>
      <c r="N2122" s="50"/>
      <c r="O2122" s="5"/>
      <c r="P2122" s="9"/>
      <c r="Q2122" s="34"/>
      <c r="R2122" s="5"/>
      <c r="S2122" s="35"/>
    </row>
    <row r="2123" spans="1:19" ht="30" customHeight="1" x14ac:dyDescent="0.35">
      <c r="A2123" s="186"/>
      <c r="B2123" s="1264"/>
      <c r="C2123" s="1264"/>
      <c r="D2123" s="1264"/>
      <c r="E2123" s="194"/>
      <c r="F2123" s="186"/>
      <c r="G2123" s="503"/>
      <c r="H2123" s="534"/>
      <c r="I2123" s="186"/>
      <c r="J2123" s="186" t="s">
        <v>223</v>
      </c>
      <c r="K2123" s="194">
        <f>SUM(K2119:K2122)</f>
        <v>571.3908503597122</v>
      </c>
      <c r="L2123" s="186" t="s">
        <v>108</v>
      </c>
      <c r="M2123" s="50"/>
      <c r="N2123" s="50"/>
      <c r="O2123" s="5"/>
      <c r="P2123" s="9"/>
      <c r="Q2123" s="34"/>
      <c r="R2123" s="5"/>
      <c r="S2123" s="35"/>
    </row>
    <row r="2124" spans="1:19" ht="30" customHeight="1" x14ac:dyDescent="0.35">
      <c r="A2124" s="186"/>
      <c r="B2124" s="1564" t="s">
        <v>1021</v>
      </c>
      <c r="C2124" s="1213"/>
      <c r="D2124" s="1214"/>
      <c r="E2124" s="194"/>
      <c r="F2124" s="1215" t="s">
        <v>195</v>
      </c>
      <c r="G2124" s="1273" t="s">
        <v>196</v>
      </c>
      <c r="H2124" s="1273"/>
      <c r="I2124" s="1273"/>
      <c r="J2124" s="1273"/>
      <c r="K2124" s="204">
        <f>(1.08+1.1)/2</f>
        <v>1.0900000000000001</v>
      </c>
      <c r="L2124" s="186"/>
      <c r="M2124" s="50"/>
      <c r="N2124" s="50"/>
      <c r="O2124" s="5"/>
      <c r="P2124" s="9"/>
      <c r="Q2124" s="34"/>
      <c r="R2124" s="5"/>
      <c r="S2124" s="35"/>
    </row>
    <row r="2125" spans="1:19" ht="30" customHeight="1" x14ac:dyDescent="0.35">
      <c r="A2125" s="186"/>
      <c r="B2125" s="567"/>
      <c r="C2125" s="567"/>
      <c r="D2125" s="567"/>
      <c r="E2125" s="194"/>
      <c r="F2125" s="1216"/>
      <c r="G2125" s="1268" t="s">
        <v>276</v>
      </c>
      <c r="H2125" s="1268"/>
      <c r="I2125" s="1268"/>
      <c r="J2125" s="1268"/>
      <c r="K2125" s="197">
        <v>1.08</v>
      </c>
      <c r="L2125" s="186"/>
      <c r="M2125" s="50"/>
      <c r="N2125" s="50"/>
      <c r="O2125" s="5"/>
      <c r="P2125" s="9"/>
      <c r="Q2125" s="34"/>
      <c r="R2125" s="5"/>
      <c r="S2125" s="35"/>
    </row>
    <row r="2126" spans="1:19" ht="30" customHeight="1" x14ac:dyDescent="0.35">
      <c r="A2126" s="186"/>
      <c r="B2126" s="1464"/>
      <c r="C2126" s="1502"/>
      <c r="D2126" s="1503"/>
      <c r="E2126" s="503"/>
      <c r="F2126" s="503"/>
      <c r="G2126" s="503"/>
      <c r="H2126" s="503"/>
      <c r="I2126" s="503"/>
      <c r="J2126" s="503" t="s">
        <v>37</v>
      </c>
      <c r="K2126" s="193">
        <f>+K2123*K2124/K2125</f>
        <v>576.68150638156146</v>
      </c>
      <c r="L2126" s="186" t="s">
        <v>108</v>
      </c>
      <c r="M2126" s="50"/>
      <c r="N2126" s="50"/>
      <c r="O2126" s="5"/>
      <c r="P2126" s="9"/>
      <c r="Q2126" s="34"/>
      <c r="R2126" s="5"/>
      <c r="S2126" s="35"/>
    </row>
    <row r="2127" spans="1:19" ht="30" customHeight="1" x14ac:dyDescent="0.35">
      <c r="A2127" s="186"/>
      <c r="B2127" s="186"/>
      <c r="C2127" s="503"/>
      <c r="D2127" s="503"/>
      <c r="E2127" s="503"/>
      <c r="F2127" s="503"/>
      <c r="G2127" s="1374" t="s">
        <v>257</v>
      </c>
      <c r="H2127" s="1375"/>
      <c r="I2127" s="1376"/>
      <c r="J2127" s="560">
        <f>VLOOKUP(B2117,'Mil Cost Premiums for PUCs'!$A$4:$R$285,18,FALSE)</f>
        <v>1.3319480854780448</v>
      </c>
      <c r="K2127" s="193">
        <f>+K2126*J2127</f>
        <v>768.10982835551567</v>
      </c>
      <c r="L2127" s="186" t="s">
        <v>108</v>
      </c>
      <c r="M2127" s="50"/>
      <c r="N2127" s="50"/>
      <c r="O2127" s="5"/>
      <c r="P2127" s="9"/>
      <c r="Q2127" s="34"/>
      <c r="R2127" s="5"/>
      <c r="S2127" s="35"/>
    </row>
    <row r="2128" spans="1:19" ht="30" customHeight="1" x14ac:dyDescent="0.35">
      <c r="A2128" s="897"/>
      <c r="B2128" s="897"/>
      <c r="C2128" s="901"/>
      <c r="D2128" s="901"/>
      <c r="E2128" s="914"/>
      <c r="F2128" s="1415" t="s">
        <v>277</v>
      </c>
      <c r="G2128" s="1415"/>
      <c r="H2128" s="1415"/>
      <c r="I2128" s="1415"/>
      <c r="J2128" s="906">
        <v>1.0833999999999999</v>
      </c>
      <c r="K2128" s="724">
        <f>K2127*J2128</f>
        <v>832.17018804036559</v>
      </c>
      <c r="L2128" s="755" t="s">
        <v>108</v>
      </c>
      <c r="M2128" s="50"/>
      <c r="N2128" s="50"/>
      <c r="O2128" s="5"/>
      <c r="P2128" s="9"/>
      <c r="Q2128" s="34"/>
      <c r="R2128" s="5"/>
      <c r="S2128" s="35"/>
    </row>
    <row r="2129" spans="1:19" ht="30" customHeight="1" x14ac:dyDescent="0.35">
      <c r="A2129" s="569"/>
      <c r="B2129" s="569"/>
      <c r="C2129" s="510"/>
      <c r="D2129" s="510"/>
      <c r="E2129" s="510"/>
      <c r="F2129" s="510"/>
      <c r="G2129" s="1191" t="s">
        <v>2817</v>
      </c>
      <c r="H2129" s="1192"/>
      <c r="I2129" s="1193"/>
      <c r="J2129" s="570">
        <v>1.1214</v>
      </c>
      <c r="K2129" s="285">
        <f>+K2128*J2129</f>
        <v>933.19564886846592</v>
      </c>
      <c r="L2129" s="755" t="s">
        <v>108</v>
      </c>
      <c r="M2129" s="50"/>
      <c r="N2129" s="50"/>
      <c r="O2129" s="5"/>
      <c r="P2129" s="9"/>
      <c r="Q2129" s="34"/>
      <c r="R2129" s="5"/>
      <c r="S2129" s="35"/>
    </row>
    <row r="2130" spans="1:19" ht="30" customHeight="1" thickBot="1" x14ac:dyDescent="0.4">
      <c r="A2130" s="569"/>
      <c r="B2130" s="569"/>
      <c r="C2130" s="510"/>
      <c r="D2130" s="510"/>
      <c r="E2130" s="510"/>
      <c r="F2130" s="510"/>
      <c r="G2130" s="1191" t="s">
        <v>3000</v>
      </c>
      <c r="H2130" s="1192"/>
      <c r="I2130" s="1193"/>
      <c r="J2130" s="570">
        <v>1.0438745311870361</v>
      </c>
      <c r="K2130" s="285">
        <f>+K2129*J2130</f>
        <v>974.13917046835184</v>
      </c>
      <c r="L2130" s="755" t="s">
        <v>108</v>
      </c>
      <c r="M2130" s="50"/>
      <c r="N2130" s="50"/>
      <c r="O2130" s="5"/>
      <c r="P2130" s="9"/>
      <c r="Q2130" s="34"/>
      <c r="R2130" s="5"/>
      <c r="S2130" s="35"/>
    </row>
    <row r="2131" spans="1:19" ht="30" customHeight="1" thickBot="1" x14ac:dyDescent="0.4">
      <c r="A2131" s="1199"/>
      <c r="B2131" s="1200"/>
      <c r="C2131" s="1200"/>
      <c r="D2131" s="1200"/>
      <c r="E2131" s="1200"/>
      <c r="F2131" s="1200"/>
      <c r="G2131" s="1200"/>
      <c r="H2131" s="1200"/>
      <c r="I2131" s="1200"/>
      <c r="J2131" s="1200"/>
      <c r="K2131" s="1200"/>
      <c r="L2131" s="1201"/>
      <c r="N2131" s="50"/>
    </row>
    <row r="2132" spans="1:19" ht="30" customHeight="1" x14ac:dyDescent="0.35">
      <c r="A2132" s="388" t="s">
        <v>1</v>
      </c>
      <c r="B2132" s="389">
        <v>3111</v>
      </c>
      <c r="C2132" s="1290" t="s">
        <v>1022</v>
      </c>
      <c r="D2132" s="1291"/>
      <c r="E2132" s="392" t="s">
        <v>3</v>
      </c>
      <c r="F2132" s="393" t="s">
        <v>108</v>
      </c>
      <c r="G2132" s="390" t="s">
        <v>38</v>
      </c>
      <c r="H2132" s="135">
        <v>52522.242976804097</v>
      </c>
      <c r="I2132" s="392" t="s">
        <v>5</v>
      </c>
      <c r="J2132" s="1207" t="s">
        <v>2571</v>
      </c>
      <c r="K2132" s="1207"/>
      <c r="L2132" s="1208"/>
      <c r="M2132" s="97"/>
      <c r="N2132" s="50"/>
      <c r="P2132" s="34"/>
      <c r="Q2132" s="5"/>
      <c r="R2132" s="35"/>
    </row>
    <row r="2133" spans="1:19" ht="30" customHeight="1" x14ac:dyDescent="0.35">
      <c r="A2133" s="185" t="s">
        <v>177</v>
      </c>
      <c r="B2133" s="1272" t="s">
        <v>7</v>
      </c>
      <c r="C2133" s="1272"/>
      <c r="D2133" s="1272"/>
      <c r="E2133" s="397" t="s">
        <v>52</v>
      </c>
      <c r="F2133" s="185" t="s">
        <v>178</v>
      </c>
      <c r="G2133" s="1292" t="s">
        <v>9</v>
      </c>
      <c r="H2133" s="1293"/>
      <c r="I2133" s="1221" t="s">
        <v>179</v>
      </c>
      <c r="J2133" s="1222"/>
      <c r="K2133" s="1209" t="s">
        <v>180</v>
      </c>
      <c r="L2133" s="1210"/>
      <c r="M2133" s="97"/>
      <c r="N2133" s="50"/>
      <c r="P2133" s="34"/>
      <c r="Q2133" s="5"/>
      <c r="R2133" s="35"/>
    </row>
    <row r="2134" spans="1:19" ht="30" customHeight="1" x14ac:dyDescent="0.35">
      <c r="A2134" s="186">
        <v>31010</v>
      </c>
      <c r="B2134" s="1202" t="s">
        <v>1023</v>
      </c>
      <c r="C2134" s="1203"/>
      <c r="D2134" s="1204"/>
      <c r="E2134" s="194">
        <v>247</v>
      </c>
      <c r="F2134" s="203">
        <v>9000</v>
      </c>
      <c r="G2134" s="186" t="s">
        <v>108</v>
      </c>
      <c r="H2134" s="401"/>
      <c r="I2134" s="1307">
        <f>+'FY2024 MILCON Inflation Table'!F8</f>
        <v>1.7467053391350638</v>
      </c>
      <c r="J2134" s="1308"/>
      <c r="K2134" s="213">
        <f>+E2134*I2134</f>
        <v>431.43621876636075</v>
      </c>
      <c r="L2134" s="401" t="s">
        <v>108</v>
      </c>
      <c r="M2134" s="97"/>
      <c r="N2134" s="50"/>
      <c r="P2134" s="34"/>
      <c r="Q2134" s="5"/>
      <c r="R2134" s="35"/>
    </row>
    <row r="2135" spans="1:19" ht="30" customHeight="1" x14ac:dyDescent="0.35">
      <c r="A2135" s="186">
        <v>21110</v>
      </c>
      <c r="B2135" s="1212" t="s">
        <v>2881</v>
      </c>
      <c r="C2135" s="1213"/>
      <c r="D2135" s="1214"/>
      <c r="E2135" s="194">
        <v>746</v>
      </c>
      <c r="F2135" s="203">
        <v>130000</v>
      </c>
      <c r="G2135" s="186" t="s">
        <v>108</v>
      </c>
      <c r="H2135" s="401"/>
      <c r="I2135" s="1307">
        <f>+'FY2024 MILCON Inflation Table'!F23</f>
        <v>0.93863689284411045</v>
      </c>
      <c r="J2135" s="1308"/>
      <c r="K2135" s="213">
        <f>+E2135*I2135</f>
        <v>700.22312206170636</v>
      </c>
      <c r="L2135" s="401" t="s">
        <v>108</v>
      </c>
      <c r="M2135" s="50"/>
      <c r="N2135" s="50"/>
      <c r="P2135" s="34"/>
      <c r="Q2135" s="5"/>
      <c r="R2135" s="35"/>
    </row>
    <row r="2136" spans="1:19" ht="30" customHeight="1" x14ac:dyDescent="0.35">
      <c r="A2136" s="186">
        <v>21120</v>
      </c>
      <c r="B2136" s="1212" t="s">
        <v>2882</v>
      </c>
      <c r="C2136" s="1213"/>
      <c r="D2136" s="1214"/>
      <c r="E2136" s="194">
        <v>517</v>
      </c>
      <c r="F2136" s="203">
        <v>98000</v>
      </c>
      <c r="G2136" s="186" t="s">
        <v>108</v>
      </c>
      <c r="H2136" s="401"/>
      <c r="I2136" s="1332">
        <f>+I2135</f>
        <v>0.93863689284411045</v>
      </c>
      <c r="J2136" s="1333"/>
      <c r="K2136" s="213">
        <f>+E2136*I2136</f>
        <v>485.27527360040511</v>
      </c>
      <c r="L2136" s="401" t="s">
        <v>108</v>
      </c>
      <c r="M2136" s="50"/>
      <c r="N2136" s="50"/>
      <c r="P2136" s="34"/>
      <c r="Q2136" s="5"/>
      <c r="R2136" s="35"/>
    </row>
    <row r="2137" spans="1:19" ht="38.25" customHeight="1" x14ac:dyDescent="0.35">
      <c r="A2137" s="186">
        <v>21140</v>
      </c>
      <c r="B2137" s="1212" t="s">
        <v>1024</v>
      </c>
      <c r="C2137" s="1213"/>
      <c r="D2137" s="1214"/>
      <c r="E2137" s="194">
        <v>229</v>
      </c>
      <c r="F2137" s="203">
        <v>26000</v>
      </c>
      <c r="G2137" s="186" t="s">
        <v>108</v>
      </c>
      <c r="H2137" s="401"/>
      <c r="I2137" s="1307">
        <f>+'FY2024 MILCON Inflation Table'!F10</f>
        <v>1.6540685803452817</v>
      </c>
      <c r="J2137" s="1308"/>
      <c r="K2137" s="213">
        <f>+E2137*I2137</f>
        <v>378.7817048990695</v>
      </c>
      <c r="L2137" s="401" t="s">
        <v>108</v>
      </c>
      <c r="M2137" s="50"/>
      <c r="N2137" s="50"/>
      <c r="P2137" s="34"/>
      <c r="Q2137" s="5"/>
      <c r="R2137" s="35"/>
    </row>
    <row r="2138" spans="1:19" ht="30" customHeight="1" x14ac:dyDescent="0.35">
      <c r="A2138" s="186"/>
      <c r="B2138" s="552"/>
      <c r="C2138" s="553"/>
      <c r="D2138" s="554"/>
      <c r="E2138" s="129"/>
      <c r="F2138" s="143"/>
      <c r="G2138" s="728"/>
      <c r="H2138" s="525"/>
      <c r="I2138" s="915"/>
      <c r="J2138" s="916" t="s">
        <v>192</v>
      </c>
      <c r="K2138" s="213">
        <f>AVERAGE(K2134:K2137)</f>
        <v>498.92907983188547</v>
      </c>
      <c r="L2138" s="401" t="s">
        <v>108</v>
      </c>
      <c r="M2138" s="50"/>
      <c r="N2138" s="50"/>
      <c r="P2138" s="34"/>
      <c r="Q2138" s="5"/>
      <c r="R2138" s="35"/>
    </row>
    <row r="2139" spans="1:19" ht="30" customHeight="1" thickBot="1" x14ac:dyDescent="0.4">
      <c r="A2139" s="186"/>
      <c r="B2139" s="1202"/>
      <c r="C2139" s="1203"/>
      <c r="D2139" s="1204"/>
      <c r="E2139" s="520"/>
      <c r="F2139" s="784"/>
      <c r="G2139" s="520"/>
      <c r="H2139" s="750"/>
      <c r="I2139" s="503"/>
      <c r="J2139" s="494" t="s">
        <v>37</v>
      </c>
      <c r="K2139" s="213">
        <f>+K2138</f>
        <v>498.92907983188547</v>
      </c>
      <c r="L2139" s="401" t="s">
        <v>108</v>
      </c>
      <c r="M2139" s="50"/>
      <c r="N2139" s="50"/>
      <c r="P2139" s="34"/>
      <c r="Q2139" s="5"/>
      <c r="R2139" s="35"/>
    </row>
    <row r="2140" spans="1:19" ht="30" customHeight="1" thickBot="1" x14ac:dyDescent="0.4">
      <c r="A2140" s="1199"/>
      <c r="B2140" s="1200"/>
      <c r="C2140" s="1200"/>
      <c r="D2140" s="1200"/>
      <c r="E2140" s="1200"/>
      <c r="F2140" s="1200"/>
      <c r="G2140" s="1200"/>
      <c r="H2140" s="1200"/>
      <c r="I2140" s="1200"/>
      <c r="J2140" s="1200"/>
      <c r="K2140" s="1200"/>
      <c r="L2140" s="1201"/>
      <c r="M2140" s="50"/>
      <c r="N2140" s="50"/>
      <c r="P2140" s="34"/>
      <c r="Q2140" s="5"/>
      <c r="R2140" s="35"/>
    </row>
    <row r="2141" spans="1:19" ht="30" customHeight="1" x14ac:dyDescent="0.35">
      <c r="A2141" s="388" t="s">
        <v>1</v>
      </c>
      <c r="B2141" s="389">
        <v>3121</v>
      </c>
      <c r="C2141" s="1290" t="s">
        <v>1025</v>
      </c>
      <c r="D2141" s="1291"/>
      <c r="E2141" s="392" t="s">
        <v>3</v>
      </c>
      <c r="F2141" s="525" t="s">
        <v>108</v>
      </c>
      <c r="G2141" s="390" t="s">
        <v>38</v>
      </c>
      <c r="H2141" s="135">
        <v>9083.8359696641292</v>
      </c>
      <c r="I2141" s="392" t="s">
        <v>5</v>
      </c>
      <c r="J2141" s="1207" t="s">
        <v>2571</v>
      </c>
      <c r="K2141" s="1207"/>
      <c r="L2141" s="1208"/>
      <c r="M2141" s="50"/>
      <c r="N2141" s="50"/>
      <c r="P2141" s="34"/>
      <c r="Q2141" s="5"/>
      <c r="R2141" s="35"/>
    </row>
    <row r="2142" spans="1:19" ht="30" customHeight="1" x14ac:dyDescent="0.35">
      <c r="A2142" s="185" t="s">
        <v>177</v>
      </c>
      <c r="B2142" s="1272" t="s">
        <v>7</v>
      </c>
      <c r="C2142" s="1272"/>
      <c r="D2142" s="1272"/>
      <c r="E2142" s="397" t="s">
        <v>52</v>
      </c>
      <c r="F2142" s="185" t="s">
        <v>178</v>
      </c>
      <c r="G2142" s="1292" t="s">
        <v>9</v>
      </c>
      <c r="H2142" s="1293"/>
      <c r="I2142" s="1221" t="s">
        <v>179</v>
      </c>
      <c r="J2142" s="1222"/>
      <c r="K2142" s="1209" t="s">
        <v>180</v>
      </c>
      <c r="L2142" s="1210"/>
      <c r="M2142" s="50"/>
      <c r="N2142" s="50"/>
      <c r="P2142" s="34"/>
      <c r="Q2142" s="5"/>
      <c r="R2142" s="35"/>
    </row>
    <row r="2143" spans="1:19" ht="30" customHeight="1" x14ac:dyDescent="0.35">
      <c r="A2143" s="186">
        <v>31010</v>
      </c>
      <c r="B2143" s="1202" t="s">
        <v>1023</v>
      </c>
      <c r="C2143" s="1203"/>
      <c r="D2143" s="1204"/>
      <c r="E2143" s="194">
        <v>247</v>
      </c>
      <c r="F2143" s="203">
        <v>9000</v>
      </c>
      <c r="G2143" s="186" t="s">
        <v>108</v>
      </c>
      <c r="H2143" s="401"/>
      <c r="I2143" s="1307">
        <f>+'FY2024 MILCON Inflation Table'!F8</f>
        <v>1.7467053391350638</v>
      </c>
      <c r="J2143" s="1308"/>
      <c r="K2143" s="198">
        <f>+E2143*I2143</f>
        <v>431.43621876636075</v>
      </c>
      <c r="L2143" s="401" t="s">
        <v>108</v>
      </c>
      <c r="M2143" s="50"/>
      <c r="N2143" s="50"/>
      <c r="P2143" s="34"/>
      <c r="Q2143" s="5"/>
      <c r="R2143" s="35"/>
    </row>
    <row r="2144" spans="1:19" ht="30" customHeight="1" x14ac:dyDescent="0.35">
      <c r="A2144" s="186">
        <v>21110</v>
      </c>
      <c r="B2144" s="1369" t="s">
        <v>2881</v>
      </c>
      <c r="C2144" s="1370"/>
      <c r="D2144" s="1371"/>
      <c r="E2144" s="194">
        <v>746</v>
      </c>
      <c r="F2144" s="203">
        <v>130000</v>
      </c>
      <c r="G2144" s="186" t="s">
        <v>108</v>
      </c>
      <c r="H2144" s="401"/>
      <c r="I2144" s="1307">
        <f>+'FY2024 MILCON Inflation Table'!F23</f>
        <v>0.93863689284411045</v>
      </c>
      <c r="J2144" s="1308"/>
      <c r="K2144" s="198">
        <f>+E2144*I2144</f>
        <v>700.22312206170636</v>
      </c>
      <c r="L2144" s="401" t="s">
        <v>108</v>
      </c>
      <c r="M2144" s="50"/>
      <c r="O2144" s="5"/>
      <c r="P2144" s="9"/>
      <c r="Q2144" s="34"/>
      <c r="R2144" s="5"/>
      <c r="S2144" s="35"/>
    </row>
    <row r="2145" spans="1:19" ht="30" customHeight="1" x14ac:dyDescent="0.35">
      <c r="A2145" s="186">
        <v>21120</v>
      </c>
      <c r="B2145" s="1212" t="s">
        <v>2882</v>
      </c>
      <c r="C2145" s="1213"/>
      <c r="D2145" s="1214"/>
      <c r="E2145" s="194">
        <v>517</v>
      </c>
      <c r="F2145" s="203">
        <v>98000</v>
      </c>
      <c r="G2145" s="186" t="s">
        <v>108</v>
      </c>
      <c r="H2145" s="401"/>
      <c r="I2145" s="1332">
        <f>+I2144</f>
        <v>0.93863689284411045</v>
      </c>
      <c r="J2145" s="1333"/>
      <c r="K2145" s="198">
        <f>+E2145*I2145</f>
        <v>485.27527360040511</v>
      </c>
      <c r="L2145" s="401" t="s">
        <v>108</v>
      </c>
      <c r="M2145" s="50"/>
      <c r="N2145" s="50"/>
      <c r="P2145" s="34"/>
      <c r="Q2145" s="5"/>
      <c r="R2145" s="35"/>
    </row>
    <row r="2146" spans="1:19" ht="30" customHeight="1" x14ac:dyDescent="0.35">
      <c r="A2146" s="186">
        <v>21210</v>
      </c>
      <c r="B2146" s="1212" t="s">
        <v>1026</v>
      </c>
      <c r="C2146" s="1213"/>
      <c r="D2146" s="1214"/>
      <c r="E2146" s="194">
        <v>208</v>
      </c>
      <c r="F2146" s="203">
        <v>10300</v>
      </c>
      <c r="G2146" s="186" t="s">
        <v>108</v>
      </c>
      <c r="H2146" s="401"/>
      <c r="I2146" s="1307">
        <f>+'FY2024 MILCON Inflation Table'!F8</f>
        <v>1.7467053391350638</v>
      </c>
      <c r="J2146" s="1308"/>
      <c r="K2146" s="198">
        <f>+E2146*I2146</f>
        <v>363.31471054009324</v>
      </c>
      <c r="L2146" s="401" t="s">
        <v>108</v>
      </c>
      <c r="M2146" s="50"/>
      <c r="N2146" s="50"/>
      <c r="P2146" s="34"/>
      <c r="Q2146" s="5"/>
      <c r="R2146" s="35"/>
    </row>
    <row r="2147" spans="1:19" ht="30" customHeight="1" x14ac:dyDescent="0.35">
      <c r="A2147" s="186"/>
      <c r="B2147" s="552"/>
      <c r="C2147" s="553"/>
      <c r="D2147" s="554"/>
      <c r="E2147" s="129"/>
      <c r="F2147" s="143"/>
      <c r="G2147" s="728"/>
      <c r="H2147" s="525"/>
      <c r="I2147" s="751"/>
      <c r="J2147" s="752" t="s">
        <v>192</v>
      </c>
      <c r="K2147" s="198">
        <f>AVERAGE(K2143:K2146)</f>
        <v>495.0623312421414</v>
      </c>
      <c r="L2147" s="401" t="s">
        <v>108</v>
      </c>
      <c r="M2147" s="50"/>
      <c r="N2147" s="50"/>
      <c r="O2147" s="5"/>
      <c r="P2147" s="9"/>
      <c r="Q2147" s="34"/>
      <c r="R2147" s="5"/>
      <c r="S2147" s="35"/>
    </row>
    <row r="2148" spans="1:19" ht="30" customHeight="1" thickBot="1" x14ac:dyDescent="0.4">
      <c r="A2148" s="186"/>
      <c r="B2148" s="1202"/>
      <c r="C2148" s="1203"/>
      <c r="D2148" s="1204"/>
      <c r="E2148" s="520"/>
      <c r="F2148" s="784"/>
      <c r="G2148" s="520"/>
      <c r="H2148" s="750"/>
      <c r="I2148" s="503"/>
      <c r="J2148" s="494" t="s">
        <v>37</v>
      </c>
      <c r="K2148" s="198">
        <f>AVERAGE(K2143:K2146)</f>
        <v>495.0623312421414</v>
      </c>
      <c r="L2148" s="401" t="s">
        <v>108</v>
      </c>
      <c r="M2148" s="50"/>
      <c r="N2148" s="50"/>
      <c r="O2148" s="5"/>
      <c r="P2148" s="9"/>
      <c r="Q2148" s="34"/>
      <c r="R2148" s="5"/>
      <c r="S2148" s="35"/>
    </row>
    <row r="2149" spans="1:19" ht="30" customHeight="1" thickBot="1" x14ac:dyDescent="0.4">
      <c r="A2149" s="1199"/>
      <c r="B2149" s="1200"/>
      <c r="C2149" s="1200"/>
      <c r="D2149" s="1200"/>
      <c r="E2149" s="1200"/>
      <c r="F2149" s="1200"/>
      <c r="G2149" s="1200"/>
      <c r="H2149" s="1200"/>
      <c r="I2149" s="1200"/>
      <c r="J2149" s="1200"/>
      <c r="K2149" s="1200"/>
      <c r="L2149" s="1201"/>
      <c r="M2149" s="50"/>
      <c r="N2149" s="50"/>
      <c r="O2149" s="5"/>
      <c r="P2149" s="9"/>
      <c r="Q2149" s="34"/>
      <c r="R2149" s="5"/>
      <c r="S2149" s="35"/>
    </row>
    <row r="2150" spans="1:19" ht="30" customHeight="1" x14ac:dyDescent="0.35">
      <c r="A2150" s="388" t="s">
        <v>1</v>
      </c>
      <c r="B2150" s="389">
        <v>3131</v>
      </c>
      <c r="C2150" s="1581" t="s">
        <v>1027</v>
      </c>
      <c r="D2150" s="1581"/>
      <c r="E2150" s="392" t="s">
        <v>3</v>
      </c>
      <c r="F2150" s="393" t="s">
        <v>108</v>
      </c>
      <c r="G2150" s="390" t="s">
        <v>38</v>
      </c>
      <c r="H2150" s="886">
        <v>23353</v>
      </c>
      <c r="I2150" s="392" t="s">
        <v>5</v>
      </c>
      <c r="J2150" s="1207" t="s">
        <v>2874</v>
      </c>
      <c r="K2150" s="1207"/>
      <c r="L2150" s="1208"/>
      <c r="M2150" s="50"/>
      <c r="N2150" s="50"/>
      <c r="O2150" s="5"/>
      <c r="P2150" s="9"/>
      <c r="Q2150" s="34"/>
      <c r="R2150" s="5"/>
      <c r="S2150" s="35"/>
    </row>
    <row r="2151" spans="1:19" ht="30" customHeight="1" x14ac:dyDescent="0.35">
      <c r="A2151" s="494" t="s">
        <v>187</v>
      </c>
      <c r="B2151" s="1280" t="s">
        <v>211</v>
      </c>
      <c r="C2151" s="1281"/>
      <c r="D2151" s="1282"/>
      <c r="E2151" s="566" t="s">
        <v>52</v>
      </c>
      <c r="F2151" s="566" t="s">
        <v>53</v>
      </c>
      <c r="G2151" s="1209" t="s">
        <v>54</v>
      </c>
      <c r="H2151" s="1210"/>
      <c r="I2151" s="878" t="s">
        <v>841</v>
      </c>
      <c r="J2151" s="185" t="s">
        <v>188</v>
      </c>
      <c r="K2151" s="1209" t="s">
        <v>180</v>
      </c>
      <c r="L2151" s="1210"/>
      <c r="M2151" s="50"/>
      <c r="N2151" s="50"/>
      <c r="O2151" s="5"/>
      <c r="P2151" s="9"/>
      <c r="Q2151" s="34"/>
      <c r="R2151" s="5"/>
      <c r="S2151" s="35"/>
    </row>
    <row r="2152" spans="1:19" ht="30" customHeight="1" x14ac:dyDescent="0.35">
      <c r="A2152" s="186" t="s">
        <v>827</v>
      </c>
      <c r="B2152" s="1212" t="s">
        <v>1028</v>
      </c>
      <c r="C2152" s="1213"/>
      <c r="D2152" s="1214"/>
      <c r="E2152" s="194">
        <v>117</v>
      </c>
      <c r="F2152" s="186" t="s">
        <v>108</v>
      </c>
      <c r="G2152" s="707"/>
      <c r="H2152" s="708"/>
      <c r="I2152" s="58">
        <f>+E2152</f>
        <v>117</v>
      </c>
      <c r="J2152" s="186">
        <v>1.1399999999999999</v>
      </c>
      <c r="K2152" s="194">
        <f>+I2152*J2152</f>
        <v>133.38</v>
      </c>
      <c r="L2152" s="186" t="s">
        <v>108</v>
      </c>
      <c r="M2152" s="50"/>
      <c r="N2152" s="50"/>
      <c r="O2152" s="5"/>
      <c r="P2152" s="9"/>
      <c r="Q2152" s="34"/>
      <c r="R2152" s="5"/>
      <c r="S2152" s="35"/>
    </row>
    <row r="2153" spans="1:19" ht="30" customHeight="1" x14ac:dyDescent="0.35">
      <c r="A2153" s="186" t="s">
        <v>249</v>
      </c>
      <c r="B2153" s="1212" t="s">
        <v>876</v>
      </c>
      <c r="C2153" s="1213"/>
      <c r="D2153" s="1214"/>
      <c r="E2153" s="11">
        <v>4.4400000000000004</v>
      </c>
      <c r="F2153" s="186" t="s">
        <v>108</v>
      </c>
      <c r="G2153" s="117"/>
      <c r="H2153" s="554"/>
      <c r="I2153" s="141">
        <f>+E2153</f>
        <v>4.4400000000000004</v>
      </c>
      <c r="J2153" s="186">
        <v>1.1399999999999999</v>
      </c>
      <c r="K2153" s="194">
        <f t="shared" ref="K2153:K2162" si="50">+I2153*J2153</f>
        <v>5.0616000000000003</v>
      </c>
      <c r="L2153" s="186" t="s">
        <v>108</v>
      </c>
      <c r="M2153" s="50"/>
      <c r="O2153" s="5"/>
      <c r="P2153" s="9"/>
      <c r="Q2153" s="34"/>
      <c r="R2153" s="5"/>
      <c r="S2153" s="35"/>
    </row>
    <row r="2154" spans="1:19" ht="30" customHeight="1" x14ac:dyDescent="0.35">
      <c r="A2154" s="186" t="s">
        <v>333</v>
      </c>
      <c r="B2154" s="1212" t="s">
        <v>1029</v>
      </c>
      <c r="C2154" s="1213"/>
      <c r="D2154" s="1214"/>
      <c r="E2154" s="194">
        <v>250000</v>
      </c>
      <c r="F2154" s="127" t="s">
        <v>40</v>
      </c>
      <c r="G2154" s="140">
        <f>+(E2154*2)/H2150</f>
        <v>21.410525414293666</v>
      </c>
      <c r="H2154" s="554" t="s">
        <v>847</v>
      </c>
      <c r="I2154" s="141">
        <f>+E2154*2/H2150</f>
        <v>21.410525414293666</v>
      </c>
      <c r="J2154" s="186">
        <v>1.01</v>
      </c>
      <c r="K2154" s="194">
        <f t="shared" si="50"/>
        <v>21.624630668436602</v>
      </c>
      <c r="L2154" s="186" t="s">
        <v>108</v>
      </c>
      <c r="M2154" s="50"/>
      <c r="N2154" s="50"/>
      <c r="O2154" s="5"/>
      <c r="P2154" s="9"/>
      <c r="Q2154" s="34"/>
      <c r="R2154" s="5"/>
      <c r="S2154" s="35"/>
    </row>
    <row r="2155" spans="1:19" ht="30" customHeight="1" x14ac:dyDescent="0.35">
      <c r="A2155" s="186" t="s">
        <v>333</v>
      </c>
      <c r="B2155" s="1212" t="s">
        <v>1030</v>
      </c>
      <c r="C2155" s="1213"/>
      <c r="D2155" s="1214"/>
      <c r="E2155" s="194">
        <f>+(344+377)/2</f>
        <v>360.5</v>
      </c>
      <c r="F2155" s="127" t="s">
        <v>28</v>
      </c>
      <c r="G2155" s="140">
        <f>400/H2150</f>
        <v>1.7128420331434933E-2</v>
      </c>
      <c r="H2155" s="554" t="s">
        <v>847</v>
      </c>
      <c r="I2155" s="141">
        <f>+E2155*G2155</f>
        <v>6.1747955294822932</v>
      </c>
      <c r="J2155" s="186">
        <v>1.01</v>
      </c>
      <c r="K2155" s="194">
        <f t="shared" si="50"/>
        <v>6.2365434847771164</v>
      </c>
      <c r="L2155" s="186" t="s">
        <v>108</v>
      </c>
      <c r="N2155" s="50"/>
      <c r="O2155" s="5"/>
      <c r="P2155" s="9"/>
      <c r="Q2155" s="34"/>
      <c r="R2155" s="5"/>
      <c r="S2155" s="35"/>
    </row>
    <row r="2156" spans="1:19" ht="50.25" customHeight="1" x14ac:dyDescent="0.35">
      <c r="A2156" s="186" t="s">
        <v>333</v>
      </c>
      <c r="B2156" s="1212" t="s">
        <v>980</v>
      </c>
      <c r="C2156" s="1213"/>
      <c r="D2156" s="1214"/>
      <c r="E2156" s="194">
        <f>+(33.5+67.5)/2</f>
        <v>50.5</v>
      </c>
      <c r="F2156" s="127" t="s">
        <v>28</v>
      </c>
      <c r="G2156" s="140">
        <f>344/H2150</f>
        <v>1.4730441485034043E-2</v>
      </c>
      <c r="H2156" s="554" t="s">
        <v>847</v>
      </c>
      <c r="I2156" s="141">
        <f>+E2156*G2156</f>
        <v>0.74388729499421913</v>
      </c>
      <c r="J2156" s="186">
        <v>1.01</v>
      </c>
      <c r="K2156" s="194">
        <f t="shared" si="50"/>
        <v>0.75132616794416129</v>
      </c>
      <c r="L2156" s="186" t="s">
        <v>108</v>
      </c>
      <c r="M2156" s="50"/>
      <c r="N2156" s="50"/>
      <c r="O2156" s="5"/>
      <c r="P2156" s="9"/>
      <c r="Q2156" s="34"/>
      <c r="R2156" s="5"/>
      <c r="S2156" s="35"/>
    </row>
    <row r="2157" spans="1:19" ht="30" customHeight="1" x14ac:dyDescent="0.35">
      <c r="A2157" s="186" t="s">
        <v>268</v>
      </c>
      <c r="B2157" s="1212" t="s">
        <v>1031</v>
      </c>
      <c r="C2157" s="1213"/>
      <c r="D2157" s="1214"/>
      <c r="E2157" s="194">
        <f>(27.5+42.75)/2</f>
        <v>35.125</v>
      </c>
      <c r="F2157" s="127" t="s">
        <v>269</v>
      </c>
      <c r="G2157" s="919">
        <f>3*81*E2157/H2150</f>
        <v>0.36549372671605362</v>
      </c>
      <c r="H2157" s="554" t="s">
        <v>847</v>
      </c>
      <c r="I2157" s="141">
        <f>+G2157</f>
        <v>0.36549372671605362</v>
      </c>
      <c r="J2157" s="186">
        <v>0.99</v>
      </c>
      <c r="K2157" s="194">
        <f t="shared" si="50"/>
        <v>0.36183878944889308</v>
      </c>
      <c r="L2157" s="186" t="s">
        <v>108</v>
      </c>
      <c r="M2157" s="50"/>
      <c r="N2157" s="50"/>
      <c r="O2157" s="5"/>
      <c r="P2157" s="9"/>
      <c r="Q2157" s="34"/>
      <c r="R2157" s="5"/>
      <c r="S2157" s="35"/>
    </row>
    <row r="2158" spans="1:19" ht="30" customHeight="1" x14ac:dyDescent="0.35">
      <c r="A2158" s="186" t="s">
        <v>268</v>
      </c>
      <c r="B2158" s="1212" t="s">
        <v>1032</v>
      </c>
      <c r="C2158" s="1213"/>
      <c r="D2158" s="1214"/>
      <c r="E2158" s="194">
        <f>(2320+3275)/2</f>
        <v>2797.5</v>
      </c>
      <c r="F2158" s="127" t="s">
        <v>40</v>
      </c>
      <c r="G2158" s="919">
        <f>3*E2158/H2150</f>
        <v>0.35937566907891921</v>
      </c>
      <c r="H2158" s="554" t="s">
        <v>847</v>
      </c>
      <c r="I2158" s="141">
        <f>+G2158</f>
        <v>0.35937566907891921</v>
      </c>
      <c r="J2158" s="186">
        <v>0.99</v>
      </c>
      <c r="K2158" s="194">
        <f t="shared" si="50"/>
        <v>0.35578191238813001</v>
      </c>
      <c r="L2158" s="186" t="s">
        <v>108</v>
      </c>
      <c r="M2158" s="50"/>
      <c r="N2158" s="95"/>
      <c r="O2158" s="5"/>
      <c r="P2158" s="9"/>
      <c r="Q2158" s="34"/>
      <c r="R2158" s="5"/>
      <c r="S2158" s="35"/>
    </row>
    <row r="2159" spans="1:19" ht="30" customHeight="1" x14ac:dyDescent="0.35">
      <c r="A2159" s="186" t="s">
        <v>271</v>
      </c>
      <c r="B2159" s="1212" t="s">
        <v>1033</v>
      </c>
      <c r="C2159" s="1213"/>
      <c r="D2159" s="1214"/>
      <c r="E2159" s="194">
        <f>+(42.75+102)/2</f>
        <v>72.375</v>
      </c>
      <c r="F2159" s="127" t="s">
        <v>28</v>
      </c>
      <c r="G2159" s="117">
        <v>30</v>
      </c>
      <c r="H2159" s="554" t="s">
        <v>965</v>
      </c>
      <c r="I2159" s="141">
        <f>+E2159*G2159/H2150</f>
        <v>9.2975206611570244E-2</v>
      </c>
      <c r="J2159" s="186">
        <v>1.1000000000000001</v>
      </c>
      <c r="K2159" s="194">
        <f t="shared" si="50"/>
        <v>0.10227272727272728</v>
      </c>
      <c r="L2159" s="186" t="s">
        <v>108</v>
      </c>
      <c r="M2159" s="50"/>
      <c r="N2159" s="50"/>
      <c r="P2159" s="34"/>
      <c r="Q2159" s="5"/>
      <c r="R2159" s="35"/>
    </row>
    <row r="2160" spans="1:19" ht="30" customHeight="1" x14ac:dyDescent="0.35">
      <c r="A2160" s="186" t="s">
        <v>271</v>
      </c>
      <c r="B2160" s="1212" t="s">
        <v>1034</v>
      </c>
      <c r="C2160" s="1213"/>
      <c r="D2160" s="1214"/>
      <c r="E2160" s="194">
        <f>+(8000+15300)/2</f>
        <v>11650</v>
      </c>
      <c r="F2160" s="127" t="s">
        <v>40</v>
      </c>
      <c r="G2160" s="117">
        <v>3</v>
      </c>
      <c r="H2160" s="554" t="s">
        <v>847</v>
      </c>
      <c r="I2160" s="141">
        <f>+E2160*3/H2150</f>
        <v>1.4965957264591274</v>
      </c>
      <c r="J2160" s="186">
        <v>1.1000000000000001</v>
      </c>
      <c r="K2160" s="194">
        <f t="shared" si="50"/>
        <v>1.6462552991050403</v>
      </c>
      <c r="L2160" s="186" t="s">
        <v>108</v>
      </c>
      <c r="M2160" s="50"/>
      <c r="N2160" s="50"/>
      <c r="P2160" s="34"/>
      <c r="Q2160" s="5"/>
      <c r="R2160" s="35"/>
    </row>
    <row r="2161" spans="1:19" ht="30" customHeight="1" x14ac:dyDescent="0.35">
      <c r="A2161" s="186" t="s">
        <v>271</v>
      </c>
      <c r="B2161" s="1212" t="s">
        <v>1035</v>
      </c>
      <c r="C2161" s="1213"/>
      <c r="D2161" s="1214"/>
      <c r="E2161" s="11">
        <f>+(820+1260)/2</f>
        <v>1040</v>
      </c>
      <c r="F2161" s="127" t="s">
        <v>40</v>
      </c>
      <c r="G2161" s="117">
        <v>3</v>
      </c>
      <c r="H2161" s="554" t="s">
        <v>847</v>
      </c>
      <c r="I2161" s="141">
        <f>+E2161*3/H2150</f>
        <v>0.13360167858519248</v>
      </c>
      <c r="J2161" s="186">
        <v>1.1000000000000001</v>
      </c>
      <c r="K2161" s="194">
        <f t="shared" si="50"/>
        <v>0.14696184644371174</v>
      </c>
      <c r="L2161" s="186" t="s">
        <v>108</v>
      </c>
      <c r="M2161" s="50"/>
      <c r="N2161" s="50"/>
      <c r="P2161" s="34"/>
      <c r="Q2161" s="5"/>
      <c r="R2161" s="35"/>
    </row>
    <row r="2162" spans="1:19" ht="30" customHeight="1" x14ac:dyDescent="0.35">
      <c r="A2162" s="186" t="s">
        <v>271</v>
      </c>
      <c r="B2162" s="1212" t="s">
        <v>1036</v>
      </c>
      <c r="C2162" s="1213"/>
      <c r="D2162" s="1214"/>
      <c r="E2162" s="194">
        <f>+(1440+4300)/2</f>
        <v>2870</v>
      </c>
      <c r="F2162" s="127" t="s">
        <v>40</v>
      </c>
      <c r="G2162" s="117">
        <v>3</v>
      </c>
      <c r="H2162" s="554" t="s">
        <v>847</v>
      </c>
      <c r="I2162" s="141">
        <f>+E2162*3/H2150</f>
        <v>0.36868924763413696</v>
      </c>
      <c r="J2162" s="186">
        <v>1.1000000000000001</v>
      </c>
      <c r="K2162" s="194">
        <f t="shared" si="50"/>
        <v>0.40555817239755071</v>
      </c>
      <c r="L2162" s="186" t="s">
        <v>108</v>
      </c>
      <c r="M2162" s="50"/>
      <c r="N2162" s="50"/>
    </row>
    <row r="2163" spans="1:19" ht="30" customHeight="1" x14ac:dyDescent="0.35">
      <c r="A2163" s="186"/>
      <c r="B2163" s="1264"/>
      <c r="C2163" s="1264"/>
      <c r="D2163" s="1264"/>
      <c r="E2163" s="194"/>
      <c r="F2163" s="186"/>
      <c r="G2163" s="503"/>
      <c r="H2163" s="534"/>
      <c r="I2163" s="534"/>
      <c r="J2163" s="186" t="s">
        <v>251</v>
      </c>
      <c r="K2163" s="194">
        <f>SUM(K2152:K2162)</f>
        <v>170.07276906821389</v>
      </c>
      <c r="L2163" s="186" t="s">
        <v>108</v>
      </c>
      <c r="M2163" s="50"/>
      <c r="N2163" s="50"/>
      <c r="P2163" s="34"/>
      <c r="Q2163" s="5"/>
      <c r="R2163" s="35"/>
    </row>
    <row r="2164" spans="1:19" ht="30" customHeight="1" x14ac:dyDescent="0.35">
      <c r="A2164" s="186"/>
      <c r="B2164" s="567"/>
      <c r="C2164" s="567"/>
      <c r="D2164" s="567"/>
      <c r="E2164" s="567"/>
      <c r="F2164" s="1215" t="s">
        <v>195</v>
      </c>
      <c r="G2164" s="1642" t="s">
        <v>196</v>
      </c>
      <c r="H2164" s="1643"/>
      <c r="I2164" s="1643"/>
      <c r="J2164" s="1644"/>
      <c r="K2164" s="196">
        <v>1.07</v>
      </c>
      <c r="L2164" s="186"/>
      <c r="M2164" s="50"/>
      <c r="N2164" s="50"/>
      <c r="P2164" s="34"/>
      <c r="Q2164" s="5"/>
      <c r="R2164" s="35"/>
    </row>
    <row r="2165" spans="1:19" ht="30" customHeight="1" x14ac:dyDescent="0.35">
      <c r="A2165" s="186"/>
      <c r="B2165" s="567"/>
      <c r="C2165" s="567"/>
      <c r="D2165" s="567"/>
      <c r="E2165" s="567"/>
      <c r="F2165" s="1216"/>
      <c r="G2165" s="1268" t="s">
        <v>2875</v>
      </c>
      <c r="H2165" s="1268"/>
      <c r="I2165" s="1268"/>
      <c r="J2165" s="1268"/>
      <c r="K2165" s="196">
        <v>1.07</v>
      </c>
      <c r="L2165" s="186"/>
      <c r="M2165" s="50"/>
      <c r="N2165" s="50"/>
      <c r="P2165" s="34"/>
      <c r="Q2165" s="5"/>
      <c r="R2165" s="35"/>
    </row>
    <row r="2166" spans="1:19" ht="30" customHeight="1" x14ac:dyDescent="0.35">
      <c r="A2166" s="920"/>
      <c r="B2166" s="921"/>
      <c r="C2166" s="922"/>
      <c r="D2166" s="922"/>
      <c r="E2166" s="922"/>
      <c r="F2166" s="922"/>
      <c r="G2166" s="922"/>
      <c r="H2166" s="923"/>
      <c r="I2166" s="503"/>
      <c r="J2166" s="186" t="s">
        <v>37</v>
      </c>
      <c r="K2166" s="193">
        <f>+K2163*K2164/K2165</f>
        <v>170.07276906821389</v>
      </c>
      <c r="L2166" s="186" t="s">
        <v>108</v>
      </c>
      <c r="M2166" s="50"/>
      <c r="N2166" s="50"/>
      <c r="P2166" s="34"/>
      <c r="Q2166" s="5"/>
      <c r="R2166" s="35"/>
    </row>
    <row r="2167" spans="1:19" ht="30" customHeight="1" x14ac:dyDescent="0.35">
      <c r="A2167" s="920"/>
      <c r="B2167" s="921"/>
      <c r="C2167" s="922"/>
      <c r="D2167" s="922"/>
      <c r="E2167" s="922"/>
      <c r="F2167" s="922"/>
      <c r="G2167" s="1194" t="s">
        <v>257</v>
      </c>
      <c r="H2167" s="1195"/>
      <c r="I2167" s="1196"/>
      <c r="J2167" s="560">
        <f>VLOOKUP(B2150,'Mil Cost Premiums for PUCs'!$A$4:$R$285,18,FALSE)</f>
        <v>1.3319480854780448</v>
      </c>
      <c r="K2167" s="193">
        <f>+K2166*J2167</f>
        <v>226.52809915235713</v>
      </c>
      <c r="L2167" s="186" t="s">
        <v>108</v>
      </c>
      <c r="M2167" s="50"/>
      <c r="N2167" s="50"/>
      <c r="P2167" s="34"/>
      <c r="Q2167" s="5"/>
      <c r="R2167" s="35"/>
    </row>
    <row r="2168" spans="1:19" ht="30" customHeight="1" x14ac:dyDescent="0.35">
      <c r="A2168" s="1274" t="s">
        <v>198</v>
      </c>
      <c r="B2168" s="1275"/>
      <c r="C2168" s="1275"/>
      <c r="D2168" s="1275"/>
      <c r="E2168" s="1275"/>
      <c r="F2168" s="1275"/>
      <c r="G2168" s="1275"/>
      <c r="H2168" s="1275"/>
      <c r="I2168" s="1275"/>
      <c r="J2168" s="1275"/>
      <c r="K2168" s="1275"/>
      <c r="L2168" s="1276"/>
      <c r="N2168" s="50"/>
      <c r="P2168" s="34"/>
      <c r="Q2168" s="5"/>
      <c r="R2168" s="35"/>
    </row>
    <row r="2169" spans="1:19" ht="30" customHeight="1" x14ac:dyDescent="0.35">
      <c r="A2169" s="1265" t="s">
        <v>199</v>
      </c>
      <c r="B2169" s="1265"/>
      <c r="C2169" s="1265"/>
      <c r="D2169" s="1274" t="s">
        <v>1037</v>
      </c>
      <c r="E2169" s="1275"/>
      <c r="F2169" s="1275"/>
      <c r="G2169" s="1275"/>
      <c r="H2169" s="1275"/>
      <c r="I2169" s="1275"/>
      <c r="J2169" s="1275"/>
      <c r="K2169" s="1275"/>
      <c r="L2169" s="1276"/>
      <c r="M2169" s="50"/>
      <c r="P2169" s="34"/>
      <c r="Q2169" s="5"/>
      <c r="R2169" s="35"/>
    </row>
    <row r="2170" spans="1:19" ht="30" customHeight="1" x14ac:dyDescent="0.35">
      <c r="A2170" s="1265" t="s">
        <v>200</v>
      </c>
      <c r="B2170" s="1265"/>
      <c r="C2170" s="1265"/>
      <c r="D2170" s="1274" t="s">
        <v>1038</v>
      </c>
      <c r="E2170" s="1275"/>
      <c r="F2170" s="1275"/>
      <c r="G2170" s="1275"/>
      <c r="H2170" s="1275"/>
      <c r="I2170" s="1275"/>
      <c r="J2170" s="1275"/>
      <c r="K2170" s="1275"/>
      <c r="L2170" s="1276"/>
      <c r="M2170" s="50"/>
      <c r="N2170" s="50"/>
      <c r="P2170" s="34"/>
      <c r="Q2170" s="5"/>
      <c r="R2170" s="35"/>
    </row>
    <row r="2171" spans="1:19" ht="50.25" customHeight="1" x14ac:dyDescent="0.35">
      <c r="A2171" s="1265" t="s">
        <v>201</v>
      </c>
      <c r="B2171" s="1265"/>
      <c r="C2171" s="1265"/>
      <c r="D2171" s="1274" t="s">
        <v>1039</v>
      </c>
      <c r="E2171" s="1275"/>
      <c r="F2171" s="1275"/>
      <c r="G2171" s="1275"/>
      <c r="H2171" s="1275"/>
      <c r="I2171" s="1275"/>
      <c r="J2171" s="1275"/>
      <c r="K2171" s="1275"/>
      <c r="L2171" s="1276"/>
      <c r="M2171" s="50"/>
      <c r="N2171" s="50"/>
      <c r="P2171" s="34"/>
      <c r="Q2171" s="5"/>
      <c r="R2171" s="35"/>
    </row>
    <row r="2172" spans="1:19" ht="30" customHeight="1" x14ac:dyDescent="0.35">
      <c r="A2172" s="1265" t="s">
        <v>202</v>
      </c>
      <c r="B2172" s="1265"/>
      <c r="C2172" s="1265"/>
      <c r="D2172" s="1274" t="s">
        <v>1040</v>
      </c>
      <c r="E2172" s="1275"/>
      <c r="F2172" s="1275"/>
      <c r="G2172" s="1275"/>
      <c r="H2172" s="1275"/>
      <c r="I2172" s="1275"/>
      <c r="J2172" s="1275"/>
      <c r="K2172" s="1275"/>
      <c r="L2172" s="1276"/>
      <c r="M2172" s="50"/>
      <c r="N2172" s="50"/>
      <c r="P2172" s="34"/>
      <c r="Q2172" s="5"/>
      <c r="R2172" s="35"/>
    </row>
    <row r="2173" spans="1:19" ht="30" customHeight="1" x14ac:dyDescent="0.35">
      <c r="A2173" s="1265" t="s">
        <v>203</v>
      </c>
      <c r="B2173" s="1265"/>
      <c r="C2173" s="1265"/>
      <c r="D2173" s="1274" t="s">
        <v>1041</v>
      </c>
      <c r="E2173" s="1275"/>
      <c r="F2173" s="1275"/>
      <c r="G2173" s="1275"/>
      <c r="H2173" s="1275"/>
      <c r="I2173" s="1275"/>
      <c r="J2173" s="1275"/>
      <c r="K2173" s="1275"/>
      <c r="L2173" s="1276"/>
      <c r="M2173" s="50"/>
      <c r="N2173" s="50"/>
      <c r="P2173" s="34"/>
      <c r="Q2173" s="5"/>
      <c r="R2173" s="35"/>
    </row>
    <row r="2174" spans="1:19" ht="30" customHeight="1" x14ac:dyDescent="0.35">
      <c r="A2174" s="1265" t="s">
        <v>205</v>
      </c>
      <c r="B2174" s="1265"/>
      <c r="C2174" s="1265"/>
      <c r="D2174" s="1274" t="s">
        <v>1042</v>
      </c>
      <c r="E2174" s="1275"/>
      <c r="F2174" s="1275"/>
      <c r="G2174" s="1275"/>
      <c r="H2174" s="1275"/>
      <c r="I2174" s="1275"/>
      <c r="J2174" s="1275"/>
      <c r="K2174" s="1275"/>
      <c r="L2174" s="1276"/>
      <c r="N2174" s="50"/>
      <c r="P2174" s="34"/>
      <c r="Q2174" s="5"/>
      <c r="R2174" s="35"/>
    </row>
    <row r="2175" spans="1:19" ht="30" customHeight="1" x14ac:dyDescent="0.35">
      <c r="A2175" s="1265" t="s">
        <v>207</v>
      </c>
      <c r="B2175" s="1265"/>
      <c r="C2175" s="1265"/>
      <c r="D2175" s="1274" t="s">
        <v>781</v>
      </c>
      <c r="E2175" s="1275"/>
      <c r="F2175" s="1275"/>
      <c r="G2175" s="1275"/>
      <c r="H2175" s="1275"/>
      <c r="I2175" s="1275"/>
      <c r="J2175" s="1275"/>
      <c r="K2175" s="1275"/>
      <c r="L2175" s="1276"/>
      <c r="M2175" s="50"/>
      <c r="N2175" s="50"/>
      <c r="O2175" s="5"/>
      <c r="P2175" s="9"/>
      <c r="Q2175" s="34"/>
      <c r="R2175" s="5"/>
      <c r="S2175" s="35"/>
    </row>
    <row r="2176" spans="1:19" ht="30" customHeight="1" x14ac:dyDescent="0.35">
      <c r="A2176" s="1265" t="s">
        <v>208</v>
      </c>
      <c r="B2176" s="1265"/>
      <c r="C2176" s="1265"/>
      <c r="D2176" s="1274" t="s">
        <v>265</v>
      </c>
      <c r="E2176" s="1275"/>
      <c r="F2176" s="1275"/>
      <c r="G2176" s="1275"/>
      <c r="H2176" s="1275"/>
      <c r="I2176" s="1275"/>
      <c r="J2176" s="1275"/>
      <c r="K2176" s="1275"/>
      <c r="L2176" s="1276"/>
      <c r="M2176" s="50"/>
      <c r="N2176" s="50"/>
      <c r="P2176" s="34"/>
      <c r="Q2176" s="5"/>
      <c r="R2176" s="35"/>
    </row>
    <row r="2177" spans="1:25" ht="30" customHeight="1" thickBot="1" x14ac:dyDescent="0.4">
      <c r="A2177" s="1526" t="s">
        <v>224</v>
      </c>
      <c r="B2177" s="1526"/>
      <c r="C2177" s="1526"/>
      <c r="D2177" s="1553" t="s">
        <v>2444</v>
      </c>
      <c r="E2177" s="1554"/>
      <c r="F2177" s="1554"/>
      <c r="G2177" s="1554"/>
      <c r="H2177" s="1554"/>
      <c r="I2177" s="1554"/>
      <c r="J2177" s="1554"/>
      <c r="K2177" s="1554"/>
      <c r="L2177" s="1555"/>
      <c r="M2177" s="50"/>
      <c r="N2177" s="50"/>
      <c r="P2177" s="34"/>
      <c r="Q2177" s="5"/>
      <c r="R2177" s="35"/>
    </row>
    <row r="2178" spans="1:25" ht="30" customHeight="1" thickBot="1" x14ac:dyDescent="0.4">
      <c r="A2178" s="1199"/>
      <c r="B2178" s="1200"/>
      <c r="C2178" s="1200"/>
      <c r="D2178" s="1200"/>
      <c r="E2178" s="1200"/>
      <c r="F2178" s="1200"/>
      <c r="G2178" s="1200"/>
      <c r="H2178" s="1200"/>
      <c r="I2178" s="1200"/>
      <c r="J2178" s="1200"/>
      <c r="K2178" s="1200"/>
      <c r="L2178" s="1201"/>
      <c r="M2178" s="50"/>
      <c r="N2178" s="50"/>
      <c r="P2178" s="34"/>
      <c r="Q2178" s="5"/>
      <c r="R2178" s="35"/>
    </row>
    <row r="2179" spans="1:25" ht="30" customHeight="1" x14ac:dyDescent="0.35">
      <c r="A2179" s="388" t="s">
        <v>1</v>
      </c>
      <c r="B2179" s="389">
        <v>3141</v>
      </c>
      <c r="C2179" s="1581" t="s">
        <v>1043</v>
      </c>
      <c r="D2179" s="1581"/>
      <c r="E2179" s="392" t="s">
        <v>3</v>
      </c>
      <c r="F2179" s="393" t="s">
        <v>108</v>
      </c>
      <c r="G2179" s="390" t="s">
        <v>38</v>
      </c>
      <c r="H2179" s="886">
        <v>11285</v>
      </c>
      <c r="I2179" s="392" t="s">
        <v>5</v>
      </c>
      <c r="J2179" s="1207" t="s">
        <v>390</v>
      </c>
      <c r="K2179" s="1207"/>
      <c r="L2179" s="1208"/>
      <c r="M2179" s="50"/>
      <c r="N2179" s="50"/>
      <c r="P2179" s="34"/>
      <c r="Q2179" s="5"/>
      <c r="R2179" s="35"/>
    </row>
    <row r="2180" spans="1:25" ht="30" customHeight="1" x14ac:dyDescent="0.35">
      <c r="A2180" s="494" t="s">
        <v>187</v>
      </c>
      <c r="B2180" s="1280" t="s">
        <v>211</v>
      </c>
      <c r="C2180" s="1281"/>
      <c r="D2180" s="1282"/>
      <c r="E2180" s="566" t="s">
        <v>52</v>
      </c>
      <c r="F2180" s="566" t="s">
        <v>53</v>
      </c>
      <c r="G2180" s="1209" t="s">
        <v>54</v>
      </c>
      <c r="H2180" s="1210"/>
      <c r="I2180" s="878" t="s">
        <v>841</v>
      </c>
      <c r="J2180" s="185" t="s">
        <v>188</v>
      </c>
      <c r="K2180" s="1209" t="s">
        <v>180</v>
      </c>
      <c r="L2180" s="1210"/>
      <c r="M2180" s="50"/>
      <c r="N2180" s="50"/>
      <c r="O2180" s="5"/>
      <c r="P2180" s="9"/>
      <c r="Q2180" s="34"/>
      <c r="R2180" s="5"/>
      <c r="S2180" s="35"/>
    </row>
    <row r="2181" spans="1:25" ht="30" customHeight="1" x14ac:dyDescent="0.35">
      <c r="A2181" s="186" t="s">
        <v>827</v>
      </c>
      <c r="B2181" s="1212" t="s">
        <v>1044</v>
      </c>
      <c r="C2181" s="1213"/>
      <c r="D2181" s="1214"/>
      <c r="E2181" s="194">
        <f>97.5-2.64</f>
        <v>94.86</v>
      </c>
      <c r="F2181" s="186" t="s">
        <v>108</v>
      </c>
      <c r="G2181" s="707"/>
      <c r="H2181" s="708"/>
      <c r="I2181" s="58">
        <f>+E2181</f>
        <v>94.86</v>
      </c>
      <c r="J2181" s="186">
        <v>1.01</v>
      </c>
      <c r="K2181" s="194">
        <f>+I2181*J2181</f>
        <v>95.808599999999998</v>
      </c>
      <c r="L2181" s="186" t="s">
        <v>108</v>
      </c>
      <c r="M2181" s="50"/>
      <c r="N2181" s="50"/>
      <c r="O2181" s="5"/>
      <c r="P2181" s="9"/>
      <c r="Q2181" s="34"/>
      <c r="R2181" s="5"/>
      <c r="S2181" s="35"/>
    </row>
    <row r="2182" spans="1:25" ht="30" customHeight="1" x14ac:dyDescent="0.35">
      <c r="A2182" s="186" t="s">
        <v>249</v>
      </c>
      <c r="B2182" s="1212" t="s">
        <v>905</v>
      </c>
      <c r="C2182" s="1213"/>
      <c r="D2182" s="1214"/>
      <c r="E2182" s="11">
        <v>4.08</v>
      </c>
      <c r="F2182" s="186" t="s">
        <v>108</v>
      </c>
      <c r="G2182" s="117"/>
      <c r="H2182" s="554"/>
      <c r="I2182" s="141">
        <f>+E2182</f>
        <v>4.08</v>
      </c>
      <c r="J2182" s="186">
        <v>1.01</v>
      </c>
      <c r="K2182" s="194">
        <f t="shared" ref="K2182:K2191" si="51">+I2182*J2182</f>
        <v>4.1208</v>
      </c>
      <c r="L2182" s="186" t="s">
        <v>108</v>
      </c>
      <c r="M2182" s="50"/>
      <c r="N2182" s="50"/>
      <c r="O2182" s="5"/>
      <c r="P2182" s="9"/>
      <c r="Q2182" s="34"/>
      <c r="R2182" s="5"/>
      <c r="S2182" s="35"/>
    </row>
    <row r="2183" spans="1:25" ht="30" customHeight="1" x14ac:dyDescent="0.35">
      <c r="A2183" s="186" t="s">
        <v>333</v>
      </c>
      <c r="B2183" s="1212" t="s">
        <v>1045</v>
      </c>
      <c r="C2183" s="1213"/>
      <c r="D2183" s="1214"/>
      <c r="E2183" s="194">
        <v>177000</v>
      </c>
      <c r="F2183" s="127" t="s">
        <v>40</v>
      </c>
      <c r="G2183" s="140">
        <f>+E2183/H2179</f>
        <v>15.684536996012406</v>
      </c>
      <c r="H2183" s="554" t="s">
        <v>847</v>
      </c>
      <c r="I2183" s="141">
        <f>+E2183/H2179</f>
        <v>15.684536996012406</v>
      </c>
      <c r="J2183" s="186">
        <v>1.02</v>
      </c>
      <c r="K2183" s="194">
        <f t="shared" si="51"/>
        <v>15.998227735932655</v>
      </c>
      <c r="L2183" s="186" t="s">
        <v>108</v>
      </c>
      <c r="M2183" s="50"/>
      <c r="N2183" s="50"/>
      <c r="P2183" s="34"/>
      <c r="Q2183" s="5"/>
      <c r="R2183" s="35"/>
    </row>
    <row r="2184" spans="1:25" ht="30" customHeight="1" x14ac:dyDescent="0.35">
      <c r="A2184" s="186" t="s">
        <v>333</v>
      </c>
      <c r="B2184" s="1212" t="s">
        <v>1046</v>
      </c>
      <c r="C2184" s="1213"/>
      <c r="D2184" s="1214"/>
      <c r="E2184" s="194">
        <f>+(244+267)/2</f>
        <v>255.5</v>
      </c>
      <c r="F2184" s="127" t="s">
        <v>28</v>
      </c>
      <c r="G2184" s="140">
        <f>344/H2179</f>
        <v>3.0482941958351793E-2</v>
      </c>
      <c r="H2184" s="554" t="s">
        <v>847</v>
      </c>
      <c r="I2184" s="141">
        <f>+E2184*G2184</f>
        <v>7.7883916703588829</v>
      </c>
      <c r="J2184" s="186">
        <v>1.02</v>
      </c>
      <c r="K2184" s="194">
        <f t="shared" si="51"/>
        <v>7.9441595037660608</v>
      </c>
      <c r="L2184" s="186" t="s">
        <v>108</v>
      </c>
      <c r="M2184" s="50"/>
      <c r="N2184" s="50"/>
      <c r="O2184" s="5"/>
      <c r="P2184" s="9"/>
      <c r="Q2184" s="34"/>
      <c r="R2184" s="5"/>
      <c r="S2184" s="35"/>
    </row>
    <row r="2185" spans="1:25" ht="38.25" customHeight="1" x14ac:dyDescent="0.35">
      <c r="A2185" s="186" t="s">
        <v>333</v>
      </c>
      <c r="B2185" s="1212" t="s">
        <v>980</v>
      </c>
      <c r="C2185" s="1213"/>
      <c r="D2185" s="1214"/>
      <c r="E2185" s="194">
        <f>+(23.75+47.75)/2</f>
        <v>35.75</v>
      </c>
      <c r="F2185" s="127" t="s">
        <v>28</v>
      </c>
      <c r="G2185" s="140">
        <f>344/H2179</f>
        <v>3.0482941958351793E-2</v>
      </c>
      <c r="H2185" s="554" t="s">
        <v>847</v>
      </c>
      <c r="I2185" s="141">
        <f>+E2185*G2185</f>
        <v>1.0897651750110766</v>
      </c>
      <c r="J2185" s="186">
        <v>1.02</v>
      </c>
      <c r="K2185" s="194">
        <f t="shared" si="51"/>
        <v>1.1115604785112982</v>
      </c>
      <c r="L2185" s="186" t="s">
        <v>108</v>
      </c>
      <c r="M2185" s="50"/>
      <c r="N2185" s="50"/>
      <c r="P2185" s="34"/>
      <c r="Q2185" s="5"/>
      <c r="R2185" s="35"/>
    </row>
    <row r="2186" spans="1:25" ht="30" customHeight="1" x14ac:dyDescent="0.35">
      <c r="A2186" s="186" t="s">
        <v>268</v>
      </c>
      <c r="B2186" s="1212" t="s">
        <v>1047</v>
      </c>
      <c r="C2186" s="1213"/>
      <c r="D2186" s="1214"/>
      <c r="E2186" s="194">
        <f>(20.3+31.5)/2</f>
        <v>25.9</v>
      </c>
      <c r="F2186" s="127" t="s">
        <v>269</v>
      </c>
      <c r="G2186" s="919">
        <f>3*81*E2186/H2179</f>
        <v>0.55770491803278688</v>
      </c>
      <c r="H2186" s="554" t="s">
        <v>847</v>
      </c>
      <c r="I2186" s="141">
        <f>+G2186</f>
        <v>0.55770491803278688</v>
      </c>
      <c r="J2186" s="186">
        <v>1.03</v>
      </c>
      <c r="K2186" s="194">
        <f t="shared" si="51"/>
        <v>0.57443606557377047</v>
      </c>
      <c r="L2186" s="186" t="s">
        <v>108</v>
      </c>
      <c r="M2186" s="50"/>
      <c r="N2186" s="50"/>
      <c r="P2186" s="34"/>
      <c r="Q2186" s="5"/>
      <c r="R2186" s="35"/>
    </row>
    <row r="2187" spans="1:25" ht="30" customHeight="1" x14ac:dyDescent="0.35">
      <c r="A2187" s="186" t="s">
        <v>268</v>
      </c>
      <c r="B2187" s="1212" t="s">
        <v>1048</v>
      </c>
      <c r="C2187" s="1213"/>
      <c r="D2187" s="1214"/>
      <c r="E2187" s="194">
        <f>(1710+2420)/2</f>
        <v>2065</v>
      </c>
      <c r="F2187" s="127" t="s">
        <v>40</v>
      </c>
      <c r="G2187" s="919">
        <f>3*E2187/H2179</f>
        <v>0.5489587948604342</v>
      </c>
      <c r="H2187" s="554" t="s">
        <v>847</v>
      </c>
      <c r="I2187" s="141">
        <f>+G2187</f>
        <v>0.5489587948604342</v>
      </c>
      <c r="J2187" s="186">
        <v>1.03</v>
      </c>
      <c r="K2187" s="194">
        <f t="shared" si="51"/>
        <v>0.56542755870624728</v>
      </c>
      <c r="L2187" s="186" t="s">
        <v>108</v>
      </c>
      <c r="M2187" s="50"/>
      <c r="N2187" s="50"/>
      <c r="P2187" s="34"/>
      <c r="Q2187" s="5"/>
      <c r="R2187" s="35"/>
    </row>
    <row r="2188" spans="1:25" ht="30" customHeight="1" x14ac:dyDescent="0.35">
      <c r="A2188" s="186" t="s">
        <v>271</v>
      </c>
      <c r="B2188" s="1212" t="s">
        <v>1049</v>
      </c>
      <c r="C2188" s="1213"/>
      <c r="D2188" s="1214"/>
      <c r="E2188" s="194">
        <f>+(34.5+782)</f>
        <v>816.5</v>
      </c>
      <c r="F2188" s="127" t="s">
        <v>28</v>
      </c>
      <c r="G2188" s="117">
        <v>30</v>
      </c>
      <c r="H2188" s="554" t="s">
        <v>965</v>
      </c>
      <c r="I2188" s="141">
        <f>+E2188*G2188/H2179</f>
        <v>2.1705804164820557</v>
      </c>
      <c r="J2188" s="186">
        <v>1.03</v>
      </c>
      <c r="K2188" s="194">
        <f t="shared" si="51"/>
        <v>2.2356978289765173</v>
      </c>
      <c r="L2188" s="186" t="s">
        <v>108</v>
      </c>
      <c r="M2188" s="50"/>
      <c r="P2188" s="34"/>
      <c r="Q2188" s="5"/>
      <c r="R2188" s="35"/>
    </row>
    <row r="2189" spans="1:25" ht="30" customHeight="1" x14ac:dyDescent="0.35">
      <c r="A2189" s="186" t="s">
        <v>271</v>
      </c>
      <c r="B2189" s="1212" t="s">
        <v>1034</v>
      </c>
      <c r="C2189" s="1213"/>
      <c r="D2189" s="1214"/>
      <c r="E2189" s="194">
        <f>+(6450+12300)/2</f>
        <v>9375</v>
      </c>
      <c r="F2189" s="127" t="s">
        <v>40</v>
      </c>
      <c r="G2189" s="117">
        <v>3</v>
      </c>
      <c r="H2189" s="554" t="s">
        <v>847</v>
      </c>
      <c r="I2189" s="141">
        <f>+E2189*3/H2179</f>
        <v>2.4922463447053609</v>
      </c>
      <c r="J2189" s="186">
        <v>1.03</v>
      </c>
      <c r="K2189" s="194">
        <f t="shared" si="51"/>
        <v>2.5670137350465216</v>
      </c>
      <c r="L2189" s="186" t="s">
        <v>108</v>
      </c>
      <c r="M2189" s="50"/>
      <c r="N2189" s="50"/>
      <c r="P2189" s="34"/>
      <c r="Q2189" s="5"/>
      <c r="R2189" s="35"/>
      <c r="X2189" s="396"/>
      <c r="Y2189" s="396"/>
    </row>
    <row r="2190" spans="1:25" ht="30" customHeight="1" x14ac:dyDescent="0.35">
      <c r="A2190" s="186" t="s">
        <v>271</v>
      </c>
      <c r="B2190" s="1212" t="s">
        <v>1035</v>
      </c>
      <c r="C2190" s="1213"/>
      <c r="D2190" s="1214"/>
      <c r="E2190" s="11">
        <f>+(660+1010)/2</f>
        <v>835</v>
      </c>
      <c r="F2190" s="127" t="s">
        <v>40</v>
      </c>
      <c r="G2190" s="117">
        <v>3</v>
      </c>
      <c r="H2190" s="554" t="s">
        <v>847</v>
      </c>
      <c r="I2190" s="141">
        <f>+E2190*3/H2179</f>
        <v>0.22197607443509082</v>
      </c>
      <c r="J2190" s="186">
        <v>1.03</v>
      </c>
      <c r="K2190" s="194">
        <f t="shared" si="51"/>
        <v>0.22863535666814355</v>
      </c>
      <c r="L2190" s="186" t="s">
        <v>108</v>
      </c>
      <c r="M2190" s="50"/>
      <c r="N2190" s="50"/>
      <c r="P2190" s="34"/>
      <c r="Q2190" s="5"/>
      <c r="R2190" s="35"/>
    </row>
    <row r="2191" spans="1:25" ht="30" customHeight="1" x14ac:dyDescent="0.35">
      <c r="A2191" s="186" t="s">
        <v>271</v>
      </c>
      <c r="B2191" s="1212" t="s">
        <v>1036</v>
      </c>
      <c r="C2191" s="1213"/>
      <c r="D2191" s="1214"/>
      <c r="E2191" s="194">
        <f>+(1160+3475)/2</f>
        <v>2317.5</v>
      </c>
      <c r="F2191" s="127" t="s">
        <v>40</v>
      </c>
      <c r="G2191" s="117">
        <v>3</v>
      </c>
      <c r="H2191" s="554" t="s">
        <v>847</v>
      </c>
      <c r="I2191" s="141">
        <f>+E2191*3/H2179</f>
        <v>0.61608329641116522</v>
      </c>
      <c r="J2191" s="186">
        <v>1.03</v>
      </c>
      <c r="K2191" s="194">
        <f t="shared" si="51"/>
        <v>0.63456579530350021</v>
      </c>
      <c r="L2191" s="186" t="s">
        <v>108</v>
      </c>
      <c r="M2191" s="50"/>
      <c r="N2191" s="50"/>
      <c r="P2191" s="34"/>
      <c r="Q2191" s="5"/>
      <c r="R2191" s="35"/>
    </row>
    <row r="2192" spans="1:25" ht="30" customHeight="1" x14ac:dyDescent="0.35">
      <c r="A2192" s="186"/>
      <c r="B2192" s="1264"/>
      <c r="C2192" s="1264"/>
      <c r="D2192" s="1264"/>
      <c r="E2192" s="194"/>
      <c r="F2192" s="186"/>
      <c r="G2192" s="503"/>
      <c r="H2192" s="534"/>
      <c r="I2192" s="534"/>
      <c r="J2192" s="186" t="s">
        <v>251</v>
      </c>
      <c r="K2192" s="194">
        <f>SUM(K2181:K2191)</f>
        <v>131.7891240584847</v>
      </c>
      <c r="L2192" s="186" t="s">
        <v>108</v>
      </c>
      <c r="M2192" s="50"/>
      <c r="N2192" s="50"/>
      <c r="P2192" s="34"/>
      <c r="Q2192" s="5"/>
      <c r="R2192" s="35"/>
    </row>
    <row r="2193" spans="1:25" ht="30" customHeight="1" x14ac:dyDescent="0.35">
      <c r="A2193" s="186"/>
      <c r="B2193" s="1564"/>
      <c r="C2193" s="1565"/>
      <c r="D2193" s="1566"/>
      <c r="E2193" s="567"/>
      <c r="F2193" s="1215" t="s">
        <v>195</v>
      </c>
      <c r="G2193" s="1642" t="s">
        <v>196</v>
      </c>
      <c r="H2193" s="1643"/>
      <c r="I2193" s="1643"/>
      <c r="J2193" s="1644"/>
      <c r="K2193" s="197">
        <v>1.1000000000000001</v>
      </c>
      <c r="L2193" s="186"/>
      <c r="M2193" s="50"/>
      <c r="N2193" s="96"/>
      <c r="P2193" s="34"/>
      <c r="Q2193" s="5"/>
      <c r="R2193" s="35"/>
    </row>
    <row r="2194" spans="1:25" ht="30" customHeight="1" x14ac:dyDescent="0.35">
      <c r="A2194" s="186"/>
      <c r="B2194" s="567"/>
      <c r="C2194" s="567"/>
      <c r="D2194" s="567"/>
      <c r="E2194" s="567"/>
      <c r="F2194" s="1216"/>
      <c r="G2194" s="1268" t="s">
        <v>276</v>
      </c>
      <c r="H2194" s="1268"/>
      <c r="I2194" s="1268"/>
      <c r="J2194" s="1268"/>
      <c r="K2194" s="197">
        <v>1.08</v>
      </c>
      <c r="L2194" s="186"/>
      <c r="M2194" s="50"/>
      <c r="N2194" s="50"/>
      <c r="P2194" s="34"/>
      <c r="Q2194" s="5"/>
      <c r="R2194" s="35"/>
      <c r="X2194" s="396"/>
      <c r="Y2194" s="396"/>
    </row>
    <row r="2195" spans="1:25" s="396" customFormat="1" ht="30" customHeight="1" x14ac:dyDescent="0.35">
      <c r="A2195" s="920"/>
      <c r="B2195" s="921"/>
      <c r="C2195" s="922"/>
      <c r="D2195" s="922"/>
      <c r="E2195" s="922"/>
      <c r="F2195" s="922"/>
      <c r="G2195" s="922"/>
      <c r="H2195" s="923"/>
      <c r="I2195" s="503"/>
      <c r="J2195" s="186" t="s">
        <v>37</v>
      </c>
      <c r="K2195" s="198">
        <f>+K2192*K2193/K2194</f>
        <v>134.22966339290107</v>
      </c>
      <c r="L2195" s="186" t="s">
        <v>108</v>
      </c>
      <c r="M2195" s="50"/>
      <c r="N2195" s="50"/>
      <c r="O2195" s="9"/>
      <c r="P2195" s="34"/>
      <c r="Q2195" s="5"/>
      <c r="R2195" s="35"/>
      <c r="S2195" s="9"/>
      <c r="T2195" s="9"/>
      <c r="U2195" s="9"/>
      <c r="V2195" s="9"/>
      <c r="W2195" s="9"/>
      <c r="X2195" s="9"/>
      <c r="Y2195" s="9"/>
    </row>
    <row r="2196" spans="1:25" s="396" customFormat="1" ht="30" customHeight="1" x14ac:dyDescent="0.35">
      <c r="A2196" s="920"/>
      <c r="B2196" s="921"/>
      <c r="C2196" s="922"/>
      <c r="D2196" s="922"/>
      <c r="E2196" s="922"/>
      <c r="F2196" s="922"/>
      <c r="G2196" s="1374" t="s">
        <v>257</v>
      </c>
      <c r="H2196" s="1375"/>
      <c r="I2196" s="1376"/>
      <c r="J2196" s="560">
        <f>VLOOKUP(B2179,'Mil Cost Premiums for PUCs'!$A$4:$R$285,18,FALSE)</f>
        <v>1.3319480854780448</v>
      </c>
      <c r="K2196" s="272">
        <f>+K2195*J2196</f>
        <v>178.78694317053697</v>
      </c>
      <c r="L2196" s="271" t="s">
        <v>108</v>
      </c>
      <c r="M2196" s="50"/>
      <c r="N2196" s="50"/>
      <c r="O2196" s="9"/>
      <c r="P2196" s="34"/>
      <c r="Q2196" s="5"/>
      <c r="R2196" s="35"/>
      <c r="S2196" s="9"/>
      <c r="T2196" s="9"/>
      <c r="U2196" s="9"/>
      <c r="V2196" s="9"/>
      <c r="W2196" s="9"/>
    </row>
    <row r="2197" spans="1:25" s="396" customFormat="1" ht="30" customHeight="1" x14ac:dyDescent="0.35">
      <c r="A2197" s="904"/>
      <c r="B2197" s="904"/>
      <c r="C2197" s="905"/>
      <c r="D2197" s="905"/>
      <c r="E2197" s="914"/>
      <c r="F2197" s="1415" t="s">
        <v>277</v>
      </c>
      <c r="G2197" s="1415"/>
      <c r="H2197" s="1415"/>
      <c r="I2197" s="1415"/>
      <c r="J2197" s="906">
        <v>1.0833999999999999</v>
      </c>
      <c r="K2197" s="924">
        <f>K2196*J2197</f>
        <v>193.69777423095974</v>
      </c>
      <c r="L2197" s="569" t="s">
        <v>108</v>
      </c>
      <c r="M2197" s="50"/>
      <c r="N2197" s="50"/>
      <c r="O2197" s="5"/>
      <c r="P2197" s="9"/>
      <c r="Q2197" s="34"/>
      <c r="R2197" s="5"/>
      <c r="S2197" s="35"/>
      <c r="T2197" s="9"/>
      <c r="U2197" s="9"/>
      <c r="V2197" s="9"/>
      <c r="W2197" s="9"/>
      <c r="X2197" s="9"/>
      <c r="Y2197" s="9"/>
    </row>
    <row r="2198" spans="1:25" ht="30" customHeight="1" x14ac:dyDescent="0.35">
      <c r="A2198" s="569"/>
      <c r="B2198" s="569"/>
      <c r="C2198" s="510"/>
      <c r="D2198" s="510"/>
      <c r="E2198" s="510"/>
      <c r="F2198" s="510"/>
      <c r="G2198" s="1191" t="s">
        <v>2817</v>
      </c>
      <c r="H2198" s="1192"/>
      <c r="I2198" s="1193"/>
      <c r="J2198" s="570">
        <v>1.1214</v>
      </c>
      <c r="K2198" s="285">
        <f>+K2197*J2198</f>
        <v>217.21268402259824</v>
      </c>
      <c r="L2198" s="755" t="s">
        <v>108</v>
      </c>
      <c r="M2198" s="50"/>
      <c r="N2198" s="96"/>
      <c r="O2198" s="5"/>
      <c r="P2198" s="9"/>
      <c r="Q2198" s="34"/>
      <c r="R2198" s="5"/>
      <c r="S2198" s="35"/>
    </row>
    <row r="2199" spans="1:25" ht="30" customHeight="1" thickBot="1" x14ac:dyDescent="0.4">
      <c r="A2199" s="569"/>
      <c r="B2199" s="569"/>
      <c r="C2199" s="510"/>
      <c r="D2199" s="510"/>
      <c r="E2199" s="510"/>
      <c r="F2199" s="510"/>
      <c r="G2199" s="1191" t="s">
        <v>3000</v>
      </c>
      <c r="H2199" s="1192"/>
      <c r="I2199" s="1193"/>
      <c r="J2199" s="570">
        <v>1.0438745311870361</v>
      </c>
      <c r="K2199" s="285">
        <f>+K2198*J2199</f>
        <v>226.74278870196756</v>
      </c>
      <c r="L2199" s="755" t="s">
        <v>108</v>
      </c>
      <c r="M2199" s="50"/>
      <c r="N2199" s="50"/>
      <c r="O2199" s="5"/>
      <c r="P2199" s="9"/>
      <c r="Q2199" s="34"/>
      <c r="R2199" s="5"/>
      <c r="S2199" s="35"/>
    </row>
    <row r="2200" spans="1:25" ht="30" customHeight="1" thickBot="1" x14ac:dyDescent="0.4">
      <c r="A2200" s="1199"/>
      <c r="B2200" s="1200"/>
      <c r="C2200" s="1200"/>
      <c r="D2200" s="1200"/>
      <c r="E2200" s="1200"/>
      <c r="F2200" s="1200"/>
      <c r="G2200" s="1200"/>
      <c r="H2200" s="1200"/>
      <c r="I2200" s="1200"/>
      <c r="J2200" s="1200"/>
      <c r="K2200" s="1200"/>
      <c r="L2200" s="1201"/>
      <c r="N2200" s="50"/>
      <c r="O2200" s="5"/>
      <c r="P2200" s="9"/>
      <c r="Q2200" s="34"/>
      <c r="R2200" s="5"/>
      <c r="S2200" s="35"/>
    </row>
    <row r="2201" spans="1:25" ht="30" customHeight="1" x14ac:dyDescent="0.35">
      <c r="A2201" s="388" t="s">
        <v>1</v>
      </c>
      <c r="B2201" s="389">
        <v>3151</v>
      </c>
      <c r="C2201" s="1205" t="s">
        <v>1050</v>
      </c>
      <c r="D2201" s="1206"/>
      <c r="E2201" s="392" t="s">
        <v>3</v>
      </c>
      <c r="F2201" s="393" t="s">
        <v>108</v>
      </c>
      <c r="G2201" s="390" t="s">
        <v>38</v>
      </c>
      <c r="H2201" s="925">
        <v>9811.0075043029192</v>
      </c>
      <c r="I2201" s="392" t="s">
        <v>5</v>
      </c>
      <c r="J2201" s="1207" t="s">
        <v>2481</v>
      </c>
      <c r="K2201" s="1207"/>
      <c r="L2201" s="1208"/>
      <c r="M2201" s="50"/>
      <c r="N2201" s="50"/>
      <c r="O2201" s="5"/>
      <c r="P2201" s="9"/>
      <c r="Q2201" s="34"/>
      <c r="R2201" s="5"/>
      <c r="S2201" s="35"/>
    </row>
    <row r="2202" spans="1:25" ht="30" customHeight="1" x14ac:dyDescent="0.35">
      <c r="A2202" s="494" t="s">
        <v>187</v>
      </c>
      <c r="B2202" s="1280" t="s">
        <v>211</v>
      </c>
      <c r="C2202" s="1281"/>
      <c r="D2202" s="1282"/>
      <c r="E2202" s="566" t="s">
        <v>52</v>
      </c>
      <c r="F2202" s="566" t="s">
        <v>53</v>
      </c>
      <c r="G2202" s="1219" t="s">
        <v>54</v>
      </c>
      <c r="H2202" s="1220"/>
      <c r="I2202" s="878" t="s">
        <v>1051</v>
      </c>
      <c r="J2202" s="185" t="s">
        <v>188</v>
      </c>
      <c r="K2202" s="1209" t="s">
        <v>180</v>
      </c>
      <c r="L2202" s="1210"/>
      <c r="M2202" s="50"/>
      <c r="N2202" s="50"/>
      <c r="P2202" s="34"/>
      <c r="Q2202" s="5"/>
      <c r="R2202" s="35"/>
    </row>
    <row r="2203" spans="1:25" ht="30" customHeight="1" x14ac:dyDescent="0.35">
      <c r="A2203" s="186" t="s">
        <v>254</v>
      </c>
      <c r="B2203" s="1212" t="s">
        <v>1001</v>
      </c>
      <c r="C2203" s="1213"/>
      <c r="D2203" s="1214"/>
      <c r="E2203" s="194">
        <v>297</v>
      </c>
      <c r="F2203" s="764" t="s">
        <v>108</v>
      </c>
      <c r="G2203" s="764"/>
      <c r="H2203" s="765"/>
      <c r="I2203" s="278"/>
      <c r="J2203" s="186">
        <v>1.1299999999999999</v>
      </c>
      <c r="K2203" s="194">
        <f>+E2203*J2203</f>
        <v>335.60999999999996</v>
      </c>
      <c r="L2203" s="186" t="s">
        <v>108</v>
      </c>
      <c r="M2203" s="50"/>
      <c r="N2203" s="50"/>
      <c r="P2203" s="34"/>
      <c r="Q2203" s="5"/>
      <c r="R2203" s="35"/>
    </row>
    <row r="2204" spans="1:25" ht="30" customHeight="1" x14ac:dyDescent="0.35">
      <c r="A2204" s="186" t="s">
        <v>254</v>
      </c>
      <c r="B2204" s="1202" t="s">
        <v>1002</v>
      </c>
      <c r="C2204" s="1203"/>
      <c r="D2204" s="1204"/>
      <c r="E2204" s="194">
        <v>46.25</v>
      </c>
      <c r="F2204" s="127" t="s">
        <v>108</v>
      </c>
      <c r="G2204" s="764"/>
      <c r="H2204" s="765"/>
      <c r="I2204" s="278"/>
      <c r="J2204" s="186">
        <v>1.1299999999999999</v>
      </c>
      <c r="K2204" s="194">
        <f>+E2204*J2204</f>
        <v>52.262499999999996</v>
      </c>
      <c r="L2204" s="186" t="s">
        <v>108</v>
      </c>
      <c r="M2204" s="50"/>
      <c r="N2204" s="50"/>
      <c r="P2204" s="34"/>
      <c r="Q2204" s="5"/>
      <c r="R2204" s="35"/>
    </row>
    <row r="2205" spans="1:25" ht="30" customHeight="1" x14ac:dyDescent="0.35">
      <c r="A2205" s="186" t="s">
        <v>249</v>
      </c>
      <c r="B2205" s="1202" t="s">
        <v>984</v>
      </c>
      <c r="C2205" s="1203"/>
      <c r="D2205" s="1204"/>
      <c r="E2205" s="194">
        <v>5.38</v>
      </c>
      <c r="F2205" s="127" t="s">
        <v>108</v>
      </c>
      <c r="G2205" s="764"/>
      <c r="H2205" s="765"/>
      <c r="I2205" s="278"/>
      <c r="J2205" s="186">
        <v>1.1299999999999999</v>
      </c>
      <c r="K2205" s="194">
        <f>+E2205*J2205</f>
        <v>6.0793999999999997</v>
      </c>
      <c r="L2205" s="186" t="s">
        <v>108</v>
      </c>
      <c r="M2205" s="50"/>
      <c r="N2205" s="50"/>
      <c r="P2205" s="34"/>
      <c r="Q2205" s="5"/>
      <c r="R2205" s="35"/>
    </row>
    <row r="2206" spans="1:25" ht="30" customHeight="1" x14ac:dyDescent="0.35">
      <c r="A2206" s="186" t="s">
        <v>249</v>
      </c>
      <c r="B2206" s="1212" t="s">
        <v>844</v>
      </c>
      <c r="C2206" s="1213"/>
      <c r="D2206" s="1214"/>
      <c r="E2206" s="193">
        <f>0.15*E2205</f>
        <v>0.80699999999999994</v>
      </c>
      <c r="F2206" s="127" t="s">
        <v>108</v>
      </c>
      <c r="G2206" s="412"/>
      <c r="H2206" s="746"/>
      <c r="I2206" s="141"/>
      <c r="J2206" s="186">
        <v>1.1299999999999999</v>
      </c>
      <c r="K2206" s="194">
        <f>+E2206*J2206</f>
        <v>0.91190999999999989</v>
      </c>
      <c r="L2206" s="186" t="s">
        <v>108</v>
      </c>
      <c r="M2206" s="50"/>
      <c r="N2206" s="96"/>
      <c r="P2206" s="34"/>
      <c r="Q2206" s="5"/>
      <c r="R2206" s="35"/>
    </row>
    <row r="2207" spans="1:25" ht="30" customHeight="1" x14ac:dyDescent="0.35">
      <c r="A2207" s="186" t="s">
        <v>249</v>
      </c>
      <c r="B2207" s="1558" t="s">
        <v>845</v>
      </c>
      <c r="C2207" s="1558"/>
      <c r="D2207" s="1558"/>
      <c r="E2207" s="272">
        <f xml:space="preserve"> 0.72+((1.42+2.11)/2)</f>
        <v>2.4849999999999999</v>
      </c>
      <c r="F2207" s="271" t="s">
        <v>108</v>
      </c>
      <c r="G2207" s="117"/>
      <c r="H2207" s="554"/>
      <c r="I2207" s="141"/>
      <c r="J2207" s="186">
        <v>1.1299999999999999</v>
      </c>
      <c r="K2207" s="194">
        <f>+E2207*J2207</f>
        <v>2.8080499999999997</v>
      </c>
      <c r="L2207" s="186" t="s">
        <v>108</v>
      </c>
      <c r="M2207" s="50"/>
      <c r="N2207" s="50"/>
      <c r="P2207" s="34"/>
      <c r="Q2207" s="5"/>
      <c r="R2207" s="35"/>
    </row>
    <row r="2208" spans="1:25" ht="30" customHeight="1" x14ac:dyDescent="0.35">
      <c r="A2208" s="186" t="s">
        <v>333</v>
      </c>
      <c r="B2208" s="1212" t="s">
        <v>1052</v>
      </c>
      <c r="C2208" s="1213"/>
      <c r="D2208" s="1214"/>
      <c r="E2208" s="194">
        <v>162000</v>
      </c>
      <c r="F2208" s="186" t="s">
        <v>40</v>
      </c>
      <c r="G2208" s="875">
        <f>+H2201</f>
        <v>9811.0075043029192</v>
      </c>
      <c r="H2208" s="534" t="s">
        <v>933</v>
      </c>
      <c r="I2208" s="534"/>
      <c r="J2208" s="186">
        <v>1.26</v>
      </c>
      <c r="K2208" s="194">
        <f>+E2208/G2208*J2208</f>
        <v>20.805202718525788</v>
      </c>
      <c r="L2208" s="186" t="s">
        <v>108</v>
      </c>
      <c r="M2208" s="50"/>
      <c r="N2208" s="50"/>
      <c r="P2208" s="34"/>
      <c r="Q2208" s="5"/>
      <c r="R2208" s="35"/>
    </row>
    <row r="2209" spans="1:23" ht="30" customHeight="1" x14ac:dyDescent="0.35">
      <c r="A2209" s="186" t="s">
        <v>333</v>
      </c>
      <c r="B2209" s="1212" t="s">
        <v>1053</v>
      </c>
      <c r="C2209" s="1213"/>
      <c r="D2209" s="1214"/>
      <c r="E2209" s="194">
        <f>+(281+307)/2</f>
        <v>294</v>
      </c>
      <c r="F2209" s="127" t="s">
        <v>28</v>
      </c>
      <c r="G2209" s="560">
        <f>150/H2201</f>
        <v>1.5288949675577446E-2</v>
      </c>
      <c r="H2209" s="534" t="s">
        <v>1054</v>
      </c>
      <c r="I2209" s="534"/>
      <c r="J2209" s="186">
        <v>1.26</v>
      </c>
      <c r="K2209" s="194">
        <f>+E2209*G2209*J2209</f>
        <v>5.6636385178209094</v>
      </c>
      <c r="L2209" s="186" t="s">
        <v>108</v>
      </c>
      <c r="M2209" s="50"/>
      <c r="N2209" s="50"/>
      <c r="P2209" s="34"/>
      <c r="Q2209" s="5"/>
      <c r="R2209" s="35"/>
    </row>
    <row r="2210" spans="1:23" ht="30" customHeight="1" x14ac:dyDescent="0.35">
      <c r="A2210" s="186" t="s">
        <v>333</v>
      </c>
      <c r="B2210" s="1212" t="s">
        <v>335</v>
      </c>
      <c r="C2210" s="1213"/>
      <c r="D2210" s="1214"/>
      <c r="E2210" s="194">
        <f>+(27.25+55)/2</f>
        <v>41.125</v>
      </c>
      <c r="F2210" s="127" t="s">
        <v>28</v>
      </c>
      <c r="G2210" s="560">
        <f>150/H2201</f>
        <v>1.5288949675577446E-2</v>
      </c>
      <c r="H2210" s="534" t="s">
        <v>1054</v>
      </c>
      <c r="I2210" s="534"/>
      <c r="J2210" s="186">
        <v>1.26</v>
      </c>
      <c r="K2210" s="194">
        <f>+E2210*G2210*J2210</f>
        <v>0.79223514981423426</v>
      </c>
      <c r="L2210" s="186" t="s">
        <v>108</v>
      </c>
      <c r="M2210" s="50"/>
      <c r="P2210" s="34"/>
      <c r="Q2210" s="5"/>
      <c r="R2210" s="35"/>
    </row>
    <row r="2211" spans="1:23" ht="30" customHeight="1" x14ac:dyDescent="0.35">
      <c r="A2211" s="186" t="s">
        <v>268</v>
      </c>
      <c r="B2211" s="1212" t="s">
        <v>2487</v>
      </c>
      <c r="C2211" s="1213"/>
      <c r="D2211" s="1214"/>
      <c r="E2211" s="194">
        <f>(24+37.25)/2</f>
        <v>30.625</v>
      </c>
      <c r="F2211" s="127" t="s">
        <v>108</v>
      </c>
      <c r="G2211" s="117">
        <f>120*4</f>
        <v>480</v>
      </c>
      <c r="H2211" s="554" t="s">
        <v>275</v>
      </c>
      <c r="I2211" s="141">
        <f>+E2211*G2211/H2201</f>
        <v>1.4983170682065896</v>
      </c>
      <c r="J2211" s="186">
        <v>1.22</v>
      </c>
      <c r="K2211" s="7">
        <f>+I2211*J2211</f>
        <v>1.8279468232120393</v>
      </c>
      <c r="L2211" s="186" t="s">
        <v>108</v>
      </c>
      <c r="M2211" s="50"/>
      <c r="N2211" s="50"/>
      <c r="P2211" s="34"/>
      <c r="Q2211" s="5"/>
      <c r="R2211" s="35"/>
    </row>
    <row r="2212" spans="1:23" ht="30" customHeight="1" x14ac:dyDescent="0.35">
      <c r="A2212" s="186" t="s">
        <v>268</v>
      </c>
      <c r="B2212" s="1212" t="s">
        <v>2488</v>
      </c>
      <c r="C2212" s="1213"/>
      <c r="D2212" s="1214"/>
      <c r="E2212" s="194">
        <f>(2020+2850)/2</f>
        <v>2435</v>
      </c>
      <c r="F2212" s="127" t="s">
        <v>40</v>
      </c>
      <c r="G2212" s="117"/>
      <c r="H2212" s="554"/>
      <c r="I2212" s="141">
        <f>4*E2212/H2201</f>
        <v>0.99276246560082881</v>
      </c>
      <c r="J2212" s="186">
        <v>1.22</v>
      </c>
      <c r="K2212" s="7">
        <f>+I2212*J2212</f>
        <v>1.2111702080330111</v>
      </c>
      <c r="L2212" s="186" t="s">
        <v>108</v>
      </c>
      <c r="M2212" s="50"/>
      <c r="N2212" s="50"/>
      <c r="O2212" s="5"/>
      <c r="P2212" s="9"/>
      <c r="Q2212" s="34"/>
      <c r="R2212" s="5"/>
      <c r="S2212" s="35"/>
    </row>
    <row r="2213" spans="1:23" ht="30" customHeight="1" x14ac:dyDescent="0.35">
      <c r="A2213" s="186" t="s">
        <v>271</v>
      </c>
      <c r="B2213" s="1212" t="s">
        <v>2486</v>
      </c>
      <c r="C2213" s="1213"/>
      <c r="D2213" s="1214"/>
      <c r="E2213" s="194">
        <v>72.38</v>
      </c>
      <c r="F2213" s="127" t="s">
        <v>28</v>
      </c>
      <c r="G2213" s="117">
        <f>4*10</f>
        <v>40</v>
      </c>
      <c r="H2213" s="554" t="s">
        <v>965</v>
      </c>
      <c r="I2213" s="141">
        <f>+E2213*G2213/H2201</f>
        <v>0.29509711400487876</v>
      </c>
      <c r="J2213" s="186">
        <v>1.1200000000000001</v>
      </c>
      <c r="K2213" s="7">
        <f>+I2213*J2213</f>
        <v>0.33050876768546422</v>
      </c>
      <c r="L2213" s="186" t="s">
        <v>108</v>
      </c>
      <c r="M2213" s="50"/>
      <c r="N2213" s="50"/>
      <c r="O2213" s="5"/>
      <c r="P2213" s="9"/>
      <c r="Q2213" s="34"/>
      <c r="R2213" s="5"/>
      <c r="S2213" s="35"/>
    </row>
    <row r="2214" spans="1:23" ht="30" customHeight="1" x14ac:dyDescent="0.35">
      <c r="A2214" s="186"/>
      <c r="B2214" s="558"/>
      <c r="C2214" s="558"/>
      <c r="D2214" s="558"/>
      <c r="E2214" s="194"/>
      <c r="F2214" s="186"/>
      <c r="G2214" s="503"/>
      <c r="H2214" s="534"/>
      <c r="I2214" s="534"/>
      <c r="J2214" s="186" t="s">
        <v>223</v>
      </c>
      <c r="K2214" s="194">
        <f>SUM(K2203:K2213)</f>
        <v>428.30256218509135</v>
      </c>
      <c r="L2214" s="186" t="s">
        <v>108</v>
      </c>
      <c r="M2214" s="50"/>
      <c r="N2214" s="50"/>
      <c r="O2214" s="5"/>
      <c r="P2214" s="9"/>
      <c r="Q2214" s="34"/>
      <c r="R2214" s="5"/>
      <c r="S2214" s="35"/>
    </row>
    <row r="2215" spans="1:23" ht="30" customHeight="1" x14ac:dyDescent="0.35">
      <c r="A2215" s="186"/>
      <c r="B2215" s="567"/>
      <c r="C2215" s="567"/>
      <c r="D2215" s="567"/>
      <c r="E2215" s="567"/>
      <c r="F2215" s="1215" t="s">
        <v>195</v>
      </c>
      <c r="G2215" s="1273" t="s">
        <v>196</v>
      </c>
      <c r="H2215" s="1273"/>
      <c r="I2215" s="1273"/>
      <c r="J2215" s="1273"/>
      <c r="K2215" s="197">
        <v>1.04</v>
      </c>
      <c r="L2215" s="186"/>
      <c r="M2215" s="50"/>
      <c r="N2215" s="96"/>
      <c r="O2215" s="5"/>
      <c r="P2215" s="9"/>
      <c r="Q2215" s="34"/>
      <c r="R2215" s="5"/>
      <c r="S2215" s="35"/>
    </row>
    <row r="2216" spans="1:23" ht="30" customHeight="1" x14ac:dyDescent="0.35">
      <c r="A2216" s="186"/>
      <c r="B2216" s="567"/>
      <c r="C2216" s="567"/>
      <c r="D2216" s="567"/>
      <c r="E2216" s="567"/>
      <c r="F2216" s="1216"/>
      <c r="G2216" s="1268" t="s">
        <v>2477</v>
      </c>
      <c r="H2216" s="1268"/>
      <c r="I2216" s="1268"/>
      <c r="J2216" s="1268"/>
      <c r="K2216" s="197">
        <v>1.05</v>
      </c>
      <c r="L2216" s="186"/>
      <c r="M2216" s="50"/>
      <c r="N2216" s="50"/>
      <c r="O2216" s="572"/>
      <c r="P2216" s="384"/>
      <c r="Q2216" s="396"/>
      <c r="R2216" s="396"/>
      <c r="S2216" s="396"/>
      <c r="T2216" s="396"/>
      <c r="U2216" s="396"/>
    </row>
    <row r="2217" spans="1:23" ht="30" customHeight="1" x14ac:dyDescent="0.35">
      <c r="A2217" s="186"/>
      <c r="B2217" s="186"/>
      <c r="C2217" s="503"/>
      <c r="D2217" s="503"/>
      <c r="E2217" s="503"/>
      <c r="F2217" s="503"/>
      <c r="G2217" s="503"/>
      <c r="H2217" s="503"/>
      <c r="I2217" s="503"/>
      <c r="J2217" s="186" t="s">
        <v>37</v>
      </c>
      <c r="K2217" s="193">
        <f>+K2214*K2215/K2216</f>
        <v>424.22349016428092</v>
      </c>
      <c r="L2217" s="186" t="s">
        <v>108</v>
      </c>
      <c r="M2217" s="50"/>
      <c r="N2217" s="50"/>
    </row>
    <row r="2218" spans="1:23" ht="30" customHeight="1" x14ac:dyDescent="0.35">
      <c r="A2218" s="186"/>
      <c r="B2218" s="186"/>
      <c r="C2218" s="503"/>
      <c r="D2218" s="503"/>
      <c r="E2218" s="503"/>
      <c r="F2218" s="503"/>
      <c r="H2218" s="503"/>
      <c r="I2218" s="538" t="s">
        <v>257</v>
      </c>
      <c r="J2218" s="560">
        <f>VLOOKUP(B2201,'Mil Cost Premiums for PUCs'!$A$4:$R$285,18,FALSE)</f>
        <v>1.3319480854780448</v>
      </c>
      <c r="K2218" s="193">
        <f>+K2217*J2218</f>
        <v>565.04366553912814</v>
      </c>
      <c r="L2218" s="186" t="s">
        <v>108</v>
      </c>
      <c r="M2218" s="50"/>
      <c r="N2218" s="50"/>
    </row>
    <row r="2219" spans="1:23" ht="30" customHeight="1" thickBot="1" x14ac:dyDescent="0.4">
      <c r="A2219" s="186"/>
      <c r="B2219" s="186"/>
      <c r="C2219" s="503"/>
      <c r="D2219" s="503"/>
      <c r="E2219" s="503"/>
      <c r="F2219" s="503"/>
      <c r="H2219" s="503"/>
      <c r="I2219" s="538" t="s">
        <v>3000</v>
      </c>
      <c r="J2219" s="560">
        <v>1.0438745311870361</v>
      </c>
      <c r="K2219" s="193">
        <f>+K2218*J2219</f>
        <v>589.83469146486186</v>
      </c>
      <c r="L2219" s="186" t="s">
        <v>108</v>
      </c>
      <c r="M2219" s="50"/>
      <c r="N2219" s="50"/>
      <c r="O2219" s="5"/>
      <c r="P2219" s="9"/>
      <c r="Q2219" s="34"/>
      <c r="R2219" s="5"/>
      <c r="S2219" s="35"/>
      <c r="V2219" s="396"/>
      <c r="W2219" s="396"/>
    </row>
    <row r="2220" spans="1:23" s="665" customFormat="1" ht="30" customHeight="1" thickBot="1" x14ac:dyDescent="0.4">
      <c r="A2220" s="1199"/>
      <c r="B2220" s="1200"/>
      <c r="C2220" s="1200"/>
      <c r="D2220" s="1200"/>
      <c r="E2220" s="1200"/>
      <c r="F2220" s="1200"/>
      <c r="G2220" s="1200"/>
      <c r="H2220" s="1200"/>
      <c r="I2220" s="1200"/>
      <c r="J2220" s="1200"/>
      <c r="K2220" s="1200"/>
      <c r="L2220" s="1201"/>
      <c r="M2220" s="50"/>
      <c r="N2220" s="111"/>
      <c r="O2220" s="9"/>
      <c r="P2220" s="14"/>
      <c r="Q2220" s="9"/>
      <c r="R2220" s="9"/>
      <c r="S2220" s="9"/>
      <c r="T2220" s="10"/>
      <c r="U2220" s="10"/>
      <c r="V2220" s="9"/>
      <c r="W2220" s="9"/>
    </row>
    <row r="2221" spans="1:23" s="665" customFormat="1" ht="30" customHeight="1" x14ac:dyDescent="0.35">
      <c r="A2221" s="530" t="s">
        <v>1</v>
      </c>
      <c r="B2221" s="126">
        <v>3161</v>
      </c>
      <c r="C2221" s="1345" t="s">
        <v>1055</v>
      </c>
      <c r="D2221" s="1346"/>
      <c r="E2221" s="390" t="s">
        <v>3</v>
      </c>
      <c r="F2221" s="395" t="s">
        <v>108</v>
      </c>
      <c r="G2221" s="390" t="s">
        <v>38</v>
      </c>
      <c r="H2221" s="926">
        <v>3642</v>
      </c>
      <c r="I2221" s="390" t="s">
        <v>5</v>
      </c>
      <c r="J2221" s="1207" t="s">
        <v>2481</v>
      </c>
      <c r="K2221" s="1207"/>
      <c r="L2221" s="1208"/>
      <c r="M2221" s="50"/>
      <c r="N2221" s="100"/>
      <c r="O2221" s="9"/>
      <c r="P2221" s="14"/>
      <c r="Q2221" s="9"/>
      <c r="R2221" s="9"/>
      <c r="S2221" s="9"/>
      <c r="T2221" s="10"/>
      <c r="U2221" s="10"/>
      <c r="V2221" s="9"/>
      <c r="W2221" s="9"/>
    </row>
    <row r="2222" spans="1:23" s="665" customFormat="1" ht="30" customHeight="1" x14ac:dyDescent="0.35">
      <c r="A2222" s="494" t="s">
        <v>187</v>
      </c>
      <c r="B2222" s="1280" t="s">
        <v>211</v>
      </c>
      <c r="C2222" s="1281"/>
      <c r="D2222" s="1282"/>
      <c r="E2222" s="566" t="s">
        <v>52</v>
      </c>
      <c r="F2222" s="566" t="s">
        <v>53</v>
      </c>
      <c r="G2222" s="1219" t="s">
        <v>54</v>
      </c>
      <c r="H2222" s="1220"/>
      <c r="I2222" s="878" t="s">
        <v>1051</v>
      </c>
      <c r="J2222" s="185" t="s">
        <v>188</v>
      </c>
      <c r="K2222" s="1209" t="s">
        <v>180</v>
      </c>
      <c r="L2222" s="1210"/>
      <c r="M2222" s="50"/>
      <c r="N2222" s="100"/>
      <c r="O2222" s="572"/>
      <c r="P2222" s="384"/>
      <c r="Q2222" s="396"/>
      <c r="R2222" s="396"/>
      <c r="S2222" s="396"/>
      <c r="T2222" s="396"/>
      <c r="U2222" s="396"/>
      <c r="V2222" s="9"/>
      <c r="W2222" s="9"/>
    </row>
    <row r="2223" spans="1:23" ht="30" customHeight="1" x14ac:dyDescent="0.35">
      <c r="A2223" s="186" t="s">
        <v>254</v>
      </c>
      <c r="B2223" s="1212" t="s">
        <v>2496</v>
      </c>
      <c r="C2223" s="1213"/>
      <c r="D2223" s="1214"/>
      <c r="E2223" s="194">
        <f>297-3.32</f>
        <v>293.68</v>
      </c>
      <c r="F2223" s="764" t="s">
        <v>108</v>
      </c>
      <c r="G2223" s="764"/>
      <c r="H2223" s="765"/>
      <c r="I2223" s="278"/>
      <c r="J2223" s="186">
        <v>1.1299999999999999</v>
      </c>
      <c r="K2223" s="194">
        <f>+E2223*J2223</f>
        <v>331.85839999999996</v>
      </c>
      <c r="L2223" s="186" t="s">
        <v>108</v>
      </c>
      <c r="M2223" s="50"/>
      <c r="N2223" s="50"/>
      <c r="O2223" s="572"/>
      <c r="P2223" s="10"/>
      <c r="Q2223" s="396"/>
      <c r="R2223" s="396"/>
      <c r="S2223" s="396"/>
      <c r="T2223" s="396"/>
      <c r="U2223" s="396"/>
    </row>
    <row r="2224" spans="1:23" ht="30" customHeight="1" x14ac:dyDescent="0.35">
      <c r="A2224" s="186" t="s">
        <v>254</v>
      </c>
      <c r="B2224" s="1202" t="s">
        <v>1002</v>
      </c>
      <c r="C2224" s="1203"/>
      <c r="D2224" s="1204"/>
      <c r="E2224" s="194">
        <v>46.25</v>
      </c>
      <c r="F2224" s="127" t="s">
        <v>108</v>
      </c>
      <c r="G2224" s="764"/>
      <c r="H2224" s="765"/>
      <c r="I2224" s="278"/>
      <c r="J2224" s="186">
        <v>1.1299999999999999</v>
      </c>
      <c r="K2224" s="194">
        <f>+E2224*J2224</f>
        <v>52.262499999999996</v>
      </c>
      <c r="L2224" s="186" t="s">
        <v>108</v>
      </c>
      <c r="M2224" s="50"/>
      <c r="N2224" s="97"/>
      <c r="O2224" s="572"/>
      <c r="P2224" s="384"/>
      <c r="Q2224" s="396"/>
      <c r="R2224" s="396"/>
      <c r="S2224" s="396"/>
      <c r="T2224" s="396"/>
      <c r="U2224" s="396"/>
      <c r="V2224" s="396"/>
      <c r="W2224" s="396"/>
    </row>
    <row r="2225" spans="1:23" ht="30" customHeight="1" x14ac:dyDescent="0.35">
      <c r="A2225" s="186" t="s">
        <v>249</v>
      </c>
      <c r="B2225" s="1202" t="s">
        <v>2497</v>
      </c>
      <c r="C2225" s="1203"/>
      <c r="D2225" s="1204"/>
      <c r="E2225" s="194">
        <v>6.79</v>
      </c>
      <c r="F2225" s="127" t="s">
        <v>108</v>
      </c>
      <c r="G2225" s="764"/>
      <c r="H2225" s="765"/>
      <c r="I2225" s="278"/>
      <c r="J2225" s="186">
        <v>1.1299999999999999</v>
      </c>
      <c r="K2225" s="194">
        <f>+E2225*J2225</f>
        <v>7.672699999999999</v>
      </c>
      <c r="L2225" s="186" t="s">
        <v>108</v>
      </c>
      <c r="M2225" s="50"/>
      <c r="N2225" s="50"/>
    </row>
    <row r="2226" spans="1:23" ht="68.25" customHeight="1" x14ac:dyDescent="0.35">
      <c r="A2226" s="186" t="s">
        <v>249</v>
      </c>
      <c r="B2226" s="1212" t="s">
        <v>844</v>
      </c>
      <c r="C2226" s="1213"/>
      <c r="D2226" s="1214"/>
      <c r="E2226" s="193">
        <f>0.15*E2225</f>
        <v>1.0185</v>
      </c>
      <c r="F2226" s="127" t="s">
        <v>108</v>
      </c>
      <c r="G2226" s="412"/>
      <c r="H2226" s="746"/>
      <c r="I2226" s="141"/>
      <c r="J2226" s="186">
        <v>1.1299999999999999</v>
      </c>
      <c r="K2226" s="194">
        <f>+E2226*J2226</f>
        <v>1.1509049999999998</v>
      </c>
      <c r="L2226" s="186" t="s">
        <v>108</v>
      </c>
      <c r="M2226" s="50"/>
      <c r="N2226" s="50"/>
      <c r="V2226" s="396"/>
      <c r="W2226" s="396"/>
    </row>
    <row r="2227" spans="1:23" ht="75" customHeight="1" x14ac:dyDescent="0.35">
      <c r="A2227" s="186" t="s">
        <v>249</v>
      </c>
      <c r="B2227" s="1558" t="s">
        <v>845</v>
      </c>
      <c r="C2227" s="1558"/>
      <c r="D2227" s="1558"/>
      <c r="E2227" s="272">
        <f xml:space="preserve"> 0.72+((1.42+2.11)/2)</f>
        <v>2.4849999999999999</v>
      </c>
      <c r="F2227" s="271" t="s">
        <v>108</v>
      </c>
      <c r="G2227" s="117"/>
      <c r="H2227" s="554"/>
      <c r="I2227" s="141"/>
      <c r="J2227" s="186">
        <v>1.1299999999999999</v>
      </c>
      <c r="K2227" s="194">
        <f>+E2227*J2227</f>
        <v>2.8080499999999997</v>
      </c>
      <c r="L2227" s="186" t="s">
        <v>108</v>
      </c>
      <c r="M2227" s="50"/>
      <c r="N2227" s="50"/>
      <c r="T2227" s="10"/>
      <c r="U2227" s="10"/>
    </row>
    <row r="2228" spans="1:23" ht="30" customHeight="1" x14ac:dyDescent="0.35">
      <c r="A2228" s="271" t="s">
        <v>2498</v>
      </c>
      <c r="B2228" s="1558" t="s">
        <v>2499</v>
      </c>
      <c r="C2228" s="1558"/>
      <c r="D2228" s="1558"/>
      <c r="E2228" s="279">
        <f>+(5000+11300)/2</f>
        <v>8150</v>
      </c>
      <c r="F2228" s="764" t="s">
        <v>40</v>
      </c>
      <c r="G2228" s="117"/>
      <c r="H2228" s="554"/>
      <c r="I2228" s="279">
        <f>+E2228*4/H2221</f>
        <v>8.9511257550796266</v>
      </c>
      <c r="J2228" s="271">
        <v>1.1200000000000001</v>
      </c>
      <c r="K2228" s="279">
        <f>+I2228*J2228</f>
        <v>10.025260845689182</v>
      </c>
      <c r="L2228" s="186" t="s">
        <v>108</v>
      </c>
      <c r="M2228" s="50"/>
      <c r="N2228" s="50"/>
      <c r="T2228" s="10"/>
      <c r="U2228" s="10"/>
    </row>
    <row r="2229" spans="1:23" ht="30" customHeight="1" x14ac:dyDescent="0.35">
      <c r="A2229" s="186" t="s">
        <v>268</v>
      </c>
      <c r="B2229" s="1212" t="s">
        <v>2501</v>
      </c>
      <c r="C2229" s="1213"/>
      <c r="D2229" s="1214"/>
      <c r="E2229" s="194">
        <f>(24+37.25)/2</f>
        <v>30.625</v>
      </c>
      <c r="F2229" s="127" t="s">
        <v>108</v>
      </c>
      <c r="G2229" s="117">
        <f>120*2</f>
        <v>240</v>
      </c>
      <c r="H2229" s="554" t="s">
        <v>275</v>
      </c>
      <c r="I2229" s="141">
        <f>+E2229*G2229/H2221</f>
        <v>2.0181219110378912</v>
      </c>
      <c r="J2229" s="186">
        <v>1.22</v>
      </c>
      <c r="K2229" s="7">
        <f>+I2229*J2229</f>
        <v>2.4621087314662273</v>
      </c>
      <c r="L2229" s="186" t="s">
        <v>108</v>
      </c>
      <c r="M2229" s="50"/>
      <c r="N2229" s="50"/>
      <c r="O2229" s="572"/>
      <c r="P2229" s="384"/>
      <c r="Q2229" s="396"/>
      <c r="R2229" s="396"/>
      <c r="S2229" s="396"/>
      <c r="T2229" s="396"/>
      <c r="U2229" s="396"/>
    </row>
    <row r="2230" spans="1:23" ht="30" customHeight="1" x14ac:dyDescent="0.35">
      <c r="A2230" s="186" t="s">
        <v>268</v>
      </c>
      <c r="B2230" s="1212" t="s">
        <v>2502</v>
      </c>
      <c r="C2230" s="1213"/>
      <c r="D2230" s="1214"/>
      <c r="E2230" s="194">
        <f>(2020+2850)/2</f>
        <v>2435</v>
      </c>
      <c r="F2230" s="127" t="s">
        <v>40</v>
      </c>
      <c r="G2230" s="117"/>
      <c r="H2230" s="554"/>
      <c r="I2230" s="141">
        <f>2*E2230/H2221</f>
        <v>1.3371773750686435</v>
      </c>
      <c r="J2230" s="186">
        <v>1.22</v>
      </c>
      <c r="K2230" s="7">
        <f>+I2230*J2230</f>
        <v>1.6313563975837451</v>
      </c>
      <c r="L2230" s="186" t="s">
        <v>108</v>
      </c>
      <c r="M2230" s="50"/>
      <c r="N2230" s="50"/>
      <c r="O2230" s="572"/>
      <c r="P2230" s="10"/>
      <c r="Q2230" s="396"/>
      <c r="R2230" s="396"/>
      <c r="S2230" s="396"/>
      <c r="T2230" s="396"/>
      <c r="U2230" s="396"/>
    </row>
    <row r="2231" spans="1:23" ht="30" customHeight="1" x14ac:dyDescent="0.35">
      <c r="A2231" s="186" t="s">
        <v>271</v>
      </c>
      <c r="B2231" s="1212" t="s">
        <v>2486</v>
      </c>
      <c r="C2231" s="1213"/>
      <c r="D2231" s="1214"/>
      <c r="E2231" s="194">
        <v>72.38</v>
      </c>
      <c r="F2231" s="127" t="s">
        <v>28</v>
      </c>
      <c r="G2231" s="117">
        <v>20</v>
      </c>
      <c r="H2231" s="554" t="s">
        <v>965</v>
      </c>
      <c r="I2231" s="141">
        <f>+E2231*G2231/H2221</f>
        <v>0.39747391543108179</v>
      </c>
      <c r="J2231" s="186">
        <v>1.1200000000000001</v>
      </c>
      <c r="K2231" s="7">
        <f>+I2231*J2231</f>
        <v>0.44517078528281168</v>
      </c>
      <c r="L2231" s="186" t="s">
        <v>108</v>
      </c>
      <c r="M2231" s="50"/>
      <c r="N2231" s="50"/>
      <c r="P2231" s="9"/>
    </row>
    <row r="2232" spans="1:23" ht="75" customHeight="1" x14ac:dyDescent="0.35">
      <c r="A2232" s="186"/>
      <c r="B2232" s="1264"/>
      <c r="C2232" s="1264"/>
      <c r="D2232" s="1264"/>
      <c r="E2232" s="194"/>
      <c r="F2232" s="186"/>
      <c r="G2232" s="503"/>
      <c r="H2232" s="407"/>
      <c r="I2232" s="186"/>
      <c r="J2232" s="186" t="s">
        <v>223</v>
      </c>
      <c r="K2232" s="194">
        <f>SUM(K2223:K2231)</f>
        <v>410.31645176002195</v>
      </c>
      <c r="L2232" s="186" t="s">
        <v>108</v>
      </c>
      <c r="M2232" s="50"/>
      <c r="N2232" s="50"/>
      <c r="P2232" s="9"/>
    </row>
    <row r="2233" spans="1:23" ht="30" customHeight="1" x14ac:dyDescent="0.35">
      <c r="A2233" s="186"/>
      <c r="B2233" s="567"/>
      <c r="C2233" s="567"/>
      <c r="D2233" s="567"/>
      <c r="E2233" s="194"/>
      <c r="F2233" s="1215" t="s">
        <v>195</v>
      </c>
      <c r="G2233" s="1273" t="s">
        <v>196</v>
      </c>
      <c r="H2233" s="1273"/>
      <c r="I2233" s="1273"/>
      <c r="J2233" s="1273"/>
      <c r="K2233" s="204">
        <v>1.04</v>
      </c>
      <c r="L2233" s="186"/>
      <c r="M2233" s="50"/>
      <c r="N2233" s="97"/>
      <c r="O2233" s="491"/>
      <c r="T2233" s="10"/>
      <c r="U2233" s="10"/>
    </row>
    <row r="2234" spans="1:23" ht="30" customHeight="1" x14ac:dyDescent="0.35">
      <c r="A2234" s="186"/>
      <c r="B2234" s="567"/>
      <c r="C2234" s="567"/>
      <c r="D2234" s="567"/>
      <c r="E2234" s="194"/>
      <c r="F2234" s="1216"/>
      <c r="G2234" s="1268" t="s">
        <v>2477</v>
      </c>
      <c r="H2234" s="1268"/>
      <c r="I2234" s="1268"/>
      <c r="J2234" s="1268"/>
      <c r="K2234" s="196">
        <v>1.05</v>
      </c>
      <c r="L2234" s="186"/>
      <c r="M2234" s="50"/>
      <c r="N2234" s="50"/>
      <c r="T2234" s="10"/>
      <c r="U2234" s="10"/>
    </row>
    <row r="2235" spans="1:23" ht="75" customHeight="1" x14ac:dyDescent="0.35">
      <c r="A2235" s="186"/>
      <c r="B2235" s="186"/>
      <c r="C2235" s="503"/>
      <c r="D2235" s="503"/>
      <c r="E2235" s="503"/>
      <c r="F2235" s="503"/>
      <c r="G2235" s="503"/>
      <c r="H2235" s="401"/>
      <c r="I2235" s="503"/>
      <c r="J2235" s="186" t="s">
        <v>37</v>
      </c>
      <c r="K2235" s="193">
        <f>+K2232*K2233/K2234</f>
        <v>406.40867602897413</v>
      </c>
      <c r="L2235" s="186" t="s">
        <v>108</v>
      </c>
      <c r="M2235" s="50"/>
      <c r="N2235" s="50"/>
      <c r="T2235" s="10"/>
      <c r="U2235" s="10"/>
    </row>
    <row r="2236" spans="1:23" ht="30" customHeight="1" x14ac:dyDescent="0.35">
      <c r="A2236" s="661"/>
      <c r="B2236" s="661"/>
      <c r="C2236" s="662"/>
      <c r="D2236" s="662"/>
      <c r="E2236" s="662"/>
      <c r="F2236" s="662"/>
      <c r="H2236" s="927"/>
      <c r="I2236" s="928" t="s">
        <v>257</v>
      </c>
      <c r="J2236" s="560">
        <f>VLOOKUP(B2221,'Mil Cost Premiums for PUCs'!$A$4:$R$285,18,FALSE)</f>
        <v>1.3319480854780448</v>
      </c>
      <c r="K2236" s="193">
        <f>+K2235*J2236</f>
        <v>541.31525795845903</v>
      </c>
      <c r="L2236" s="186" t="s">
        <v>108</v>
      </c>
      <c r="M2236" s="50"/>
      <c r="N2236" s="50"/>
      <c r="O2236" s="491"/>
      <c r="T2236" s="10"/>
      <c r="U2236" s="10"/>
    </row>
    <row r="2237" spans="1:23" ht="30" customHeight="1" thickBot="1" x14ac:dyDescent="0.4">
      <c r="A2237" s="661"/>
      <c r="B2237" s="661"/>
      <c r="C2237" s="662"/>
      <c r="D2237" s="662"/>
      <c r="E2237" s="662"/>
      <c r="F2237" s="662"/>
      <c r="H2237" s="927"/>
      <c r="I2237" s="928" t="s">
        <v>3000</v>
      </c>
      <c r="J2237" s="560">
        <v>1.0438745311870361</v>
      </c>
      <c r="K2237" s="193">
        <f>+K2236*J2237</f>
        <v>565.06521112577593</v>
      </c>
      <c r="L2237" s="186" t="s">
        <v>108</v>
      </c>
      <c r="M2237" s="50"/>
      <c r="N2237" s="96"/>
      <c r="O2237" s="491"/>
      <c r="T2237" s="10"/>
      <c r="U2237" s="10"/>
    </row>
    <row r="2238" spans="1:23" ht="30" customHeight="1" thickBot="1" x14ac:dyDescent="0.4">
      <c r="A2238" s="1199"/>
      <c r="B2238" s="1200"/>
      <c r="C2238" s="1200"/>
      <c r="D2238" s="1200"/>
      <c r="E2238" s="1200"/>
      <c r="F2238" s="1200"/>
      <c r="G2238" s="1200"/>
      <c r="H2238" s="1200"/>
      <c r="I2238" s="1200"/>
      <c r="J2238" s="1200"/>
      <c r="K2238" s="1200"/>
      <c r="L2238" s="1201"/>
      <c r="M2238" s="50"/>
      <c r="N2238" s="50"/>
      <c r="O2238" s="491"/>
      <c r="T2238" s="10"/>
      <c r="U2238" s="10"/>
    </row>
    <row r="2239" spans="1:23" ht="30" customHeight="1" x14ac:dyDescent="0.35">
      <c r="A2239" s="388" t="s">
        <v>1</v>
      </c>
      <c r="B2239" s="389">
        <v>3171</v>
      </c>
      <c r="C2239" s="1581" t="s">
        <v>1056</v>
      </c>
      <c r="D2239" s="1581"/>
      <c r="E2239" s="392" t="s">
        <v>3</v>
      </c>
      <c r="F2239" s="393" t="s">
        <v>108</v>
      </c>
      <c r="G2239" s="390" t="s">
        <v>38</v>
      </c>
      <c r="H2239" s="342">
        <v>10554.285004035501</v>
      </c>
      <c r="I2239" s="392" t="s">
        <v>5</v>
      </c>
      <c r="J2239" s="1207" t="s">
        <v>2481</v>
      </c>
      <c r="K2239" s="1207"/>
      <c r="L2239" s="1208"/>
      <c r="M2239" s="50"/>
      <c r="N2239" s="50"/>
      <c r="T2239" s="10"/>
      <c r="U2239" s="10"/>
    </row>
    <row r="2240" spans="1:23" ht="30" customHeight="1" x14ac:dyDescent="0.35">
      <c r="A2240" s="494" t="s">
        <v>187</v>
      </c>
      <c r="B2240" s="1280" t="s">
        <v>211</v>
      </c>
      <c r="C2240" s="1281"/>
      <c r="D2240" s="1282"/>
      <c r="E2240" s="566" t="s">
        <v>52</v>
      </c>
      <c r="F2240" s="566" t="s">
        <v>53</v>
      </c>
      <c r="G2240" s="1209" t="s">
        <v>54</v>
      </c>
      <c r="H2240" s="1210"/>
      <c r="I2240" s="878" t="s">
        <v>841</v>
      </c>
      <c r="J2240" s="185" t="s">
        <v>188</v>
      </c>
      <c r="K2240" s="1209" t="s">
        <v>180</v>
      </c>
      <c r="L2240" s="1210"/>
      <c r="M2240" s="50"/>
      <c r="N2240" s="50"/>
      <c r="T2240" s="10"/>
    </row>
    <row r="2241" spans="1:25" ht="30" customHeight="1" x14ac:dyDescent="0.35">
      <c r="A2241" s="186" t="s">
        <v>827</v>
      </c>
      <c r="B2241" s="1212" t="s">
        <v>2503</v>
      </c>
      <c r="C2241" s="1213"/>
      <c r="D2241" s="1214"/>
      <c r="E2241" s="194">
        <f>117-3.32</f>
        <v>113.68</v>
      </c>
      <c r="F2241" s="186" t="s">
        <v>108</v>
      </c>
      <c r="G2241" s="707"/>
      <c r="H2241" s="708"/>
      <c r="I2241" s="58">
        <f>+E2241</f>
        <v>113.68</v>
      </c>
      <c r="J2241" s="186">
        <v>1.1399999999999999</v>
      </c>
      <c r="K2241" s="7">
        <f t="shared" ref="K2241:K2246" si="52">+I2241*J2241</f>
        <v>129.59520000000001</v>
      </c>
      <c r="L2241" s="186" t="s">
        <v>108</v>
      </c>
      <c r="M2241" s="50"/>
      <c r="N2241" s="50"/>
      <c r="O2241" s="5"/>
      <c r="P2241" s="9"/>
      <c r="Q2241" s="34"/>
      <c r="R2241" s="5"/>
      <c r="S2241" s="35"/>
      <c r="U2241" s="10"/>
    </row>
    <row r="2242" spans="1:25" ht="30" customHeight="1" x14ac:dyDescent="0.35">
      <c r="A2242" s="186" t="s">
        <v>249</v>
      </c>
      <c r="B2242" s="1212" t="s">
        <v>256</v>
      </c>
      <c r="C2242" s="1213"/>
      <c r="D2242" s="1214"/>
      <c r="E2242" s="11">
        <v>5.38</v>
      </c>
      <c r="F2242" s="186" t="s">
        <v>108</v>
      </c>
      <c r="G2242" s="117"/>
      <c r="H2242" s="554"/>
      <c r="I2242" s="141">
        <f>+E2242</f>
        <v>5.38</v>
      </c>
      <c r="J2242" s="186">
        <v>1.1399999999999999</v>
      </c>
      <c r="K2242" s="7">
        <f t="shared" si="52"/>
        <v>6.1331999999999995</v>
      </c>
      <c r="L2242" s="186" t="s">
        <v>108</v>
      </c>
      <c r="M2242" s="50"/>
      <c r="N2242" s="50"/>
      <c r="T2242" s="10"/>
      <c r="U2242" s="10"/>
    </row>
    <row r="2243" spans="1:25" ht="30" customHeight="1" x14ac:dyDescent="0.35">
      <c r="A2243" s="186" t="s">
        <v>268</v>
      </c>
      <c r="B2243" s="1212" t="s">
        <v>2501</v>
      </c>
      <c r="C2243" s="1213"/>
      <c r="D2243" s="1214"/>
      <c r="E2243" s="194">
        <f>(24+37.25)/2</f>
        <v>30.625</v>
      </c>
      <c r="F2243" s="127" t="s">
        <v>108</v>
      </c>
      <c r="G2243" s="117">
        <f>120*2</f>
        <v>240</v>
      </c>
      <c r="H2243" s="554" t="s">
        <v>275</v>
      </c>
      <c r="I2243" s="141">
        <f>+E2243*G2243/H2239</f>
        <v>0.69639961372936954</v>
      </c>
      <c r="J2243" s="186">
        <v>1.22</v>
      </c>
      <c r="K2243" s="7">
        <f>+I2243*J2243</f>
        <v>0.84960752874983081</v>
      </c>
      <c r="L2243" s="186" t="s">
        <v>108</v>
      </c>
      <c r="M2243" s="50"/>
      <c r="N2243" s="50"/>
      <c r="T2243" s="10"/>
      <c r="U2243" s="10"/>
    </row>
    <row r="2244" spans="1:25" ht="30" customHeight="1" x14ac:dyDescent="0.35">
      <c r="A2244" s="186" t="s">
        <v>268</v>
      </c>
      <c r="B2244" s="1212" t="s">
        <v>2502</v>
      </c>
      <c r="C2244" s="1213"/>
      <c r="D2244" s="1214"/>
      <c r="E2244" s="194">
        <f>(2020+2850)/2</f>
        <v>2435</v>
      </c>
      <c r="F2244" s="127" t="s">
        <v>40</v>
      </c>
      <c r="G2244" s="117"/>
      <c r="H2244" s="554"/>
      <c r="I2244" s="141">
        <f>2*E2244/H2239</f>
        <v>0.461423961749936</v>
      </c>
      <c r="J2244" s="186">
        <v>1.22</v>
      </c>
      <c r="K2244" s="7">
        <f>+I2244*J2244</f>
        <v>0.56293723333492185</v>
      </c>
      <c r="L2244" s="186" t="s">
        <v>108</v>
      </c>
      <c r="M2244" s="50"/>
      <c r="N2244" s="50"/>
      <c r="T2244" s="10"/>
      <c r="U2244" s="10"/>
    </row>
    <row r="2245" spans="1:25" ht="30" customHeight="1" x14ac:dyDescent="0.35">
      <c r="A2245" s="186" t="s">
        <v>271</v>
      </c>
      <c r="B2245" s="1212" t="s">
        <v>2486</v>
      </c>
      <c r="C2245" s="1213"/>
      <c r="D2245" s="1214"/>
      <c r="E2245" s="194">
        <v>72.38</v>
      </c>
      <c r="F2245" s="127" t="s">
        <v>28</v>
      </c>
      <c r="G2245" s="117">
        <v>20</v>
      </c>
      <c r="H2245" s="554" t="s">
        <v>965</v>
      </c>
      <c r="I2245" s="141">
        <f>+E2245*G2245/H2239</f>
        <v>0.13715756201831772</v>
      </c>
      <c r="J2245" s="186">
        <v>1.1200000000000001</v>
      </c>
      <c r="K2245" s="7">
        <f>+I2245*J2245</f>
        <v>0.15361646946051585</v>
      </c>
      <c r="L2245" s="186" t="s">
        <v>108</v>
      </c>
      <c r="M2245" s="50"/>
      <c r="N2245" s="50"/>
      <c r="T2245" s="10"/>
      <c r="U2245" s="10"/>
    </row>
    <row r="2246" spans="1:25" ht="30" customHeight="1" x14ac:dyDescent="0.35">
      <c r="A2246" s="186" t="s">
        <v>271</v>
      </c>
      <c r="B2246" s="1212" t="s">
        <v>860</v>
      </c>
      <c r="C2246" s="1213"/>
      <c r="D2246" s="1214"/>
      <c r="E2246" s="194">
        <f>+(8000+15300)/2</f>
        <v>11650</v>
      </c>
      <c r="F2246" s="127" t="s">
        <v>40</v>
      </c>
      <c r="G2246" s="117">
        <v>2</v>
      </c>
      <c r="H2246" s="554" t="s">
        <v>847</v>
      </c>
      <c r="I2246" s="141">
        <f>+E2246*2/H2239</f>
        <v>2.2076341496454845</v>
      </c>
      <c r="J2246" s="186">
        <v>1.1200000000000001</v>
      </c>
      <c r="K2246" s="7">
        <f t="shared" si="52"/>
        <v>2.4725502476029431</v>
      </c>
      <c r="L2246" s="186" t="s">
        <v>108</v>
      </c>
      <c r="M2246" s="50"/>
      <c r="N2246" s="97"/>
      <c r="T2246" s="53"/>
      <c r="U2246" s="53"/>
    </row>
    <row r="2247" spans="1:25" ht="30" customHeight="1" x14ac:dyDescent="0.35">
      <c r="A2247" s="186"/>
      <c r="B2247" s="1264"/>
      <c r="C2247" s="1264"/>
      <c r="D2247" s="1264"/>
      <c r="E2247" s="194"/>
      <c r="F2247" s="186"/>
      <c r="G2247" s="503"/>
      <c r="H2247" s="534"/>
      <c r="I2247" s="534"/>
      <c r="J2247" s="186" t="s">
        <v>251</v>
      </c>
      <c r="K2247" s="194">
        <f>SUM(K2241:K2246)</f>
        <v>139.76711147914821</v>
      </c>
      <c r="L2247" s="186" t="s">
        <v>108</v>
      </c>
      <c r="M2247" s="50"/>
      <c r="N2247" s="50"/>
      <c r="O2247" s="5"/>
      <c r="V2247" s="10"/>
      <c r="W2247" s="10"/>
    </row>
    <row r="2248" spans="1:25" ht="30" customHeight="1" x14ac:dyDescent="0.35">
      <c r="A2248" s="186"/>
      <c r="B2248" s="567"/>
      <c r="C2248" s="567"/>
      <c r="D2248" s="567"/>
      <c r="E2248" s="567"/>
      <c r="F2248" s="1215" t="s">
        <v>195</v>
      </c>
      <c r="G2248" s="1273" t="s">
        <v>196</v>
      </c>
      <c r="H2248" s="1273"/>
      <c r="I2248" s="1273"/>
      <c r="J2248" s="1273"/>
      <c r="K2248" s="197">
        <v>1.08</v>
      </c>
      <c r="L2248" s="186"/>
      <c r="M2248" s="50"/>
      <c r="N2248" s="96"/>
      <c r="T2248" s="10"/>
      <c r="U2248" s="10"/>
    </row>
    <row r="2249" spans="1:25" ht="30" customHeight="1" x14ac:dyDescent="0.35">
      <c r="A2249" s="186"/>
      <c r="B2249" s="567"/>
      <c r="C2249" s="567"/>
      <c r="D2249" s="567"/>
      <c r="E2249" s="567"/>
      <c r="F2249" s="1216"/>
      <c r="G2249" s="1268" t="s">
        <v>2477</v>
      </c>
      <c r="H2249" s="1268"/>
      <c r="I2249" s="1268"/>
      <c r="J2249" s="1268"/>
      <c r="K2249" s="197">
        <v>1.05</v>
      </c>
      <c r="L2249" s="186"/>
      <c r="M2249" s="50"/>
      <c r="N2249" s="50"/>
      <c r="O2249" s="491"/>
      <c r="T2249" s="10"/>
      <c r="U2249" s="10"/>
    </row>
    <row r="2250" spans="1:25" ht="30" customHeight="1" x14ac:dyDescent="0.35">
      <c r="A2250" s="920"/>
      <c r="B2250" s="921"/>
      <c r="C2250" s="922"/>
      <c r="D2250" s="922"/>
      <c r="E2250" s="922"/>
      <c r="F2250" s="922"/>
      <c r="G2250" s="929"/>
      <c r="H2250" s="503"/>
      <c r="I2250" s="503"/>
      <c r="J2250" s="503" t="s">
        <v>37</v>
      </c>
      <c r="K2250" s="193">
        <f>+K2247*K2248/K2249</f>
        <v>143.76045752140959</v>
      </c>
      <c r="L2250" s="186" t="s">
        <v>108</v>
      </c>
      <c r="M2250" s="50"/>
      <c r="N2250" s="97"/>
      <c r="O2250" s="491"/>
      <c r="T2250" s="10"/>
      <c r="U2250" s="120"/>
      <c r="V2250" s="665"/>
      <c r="W2250" s="665"/>
    </row>
    <row r="2251" spans="1:25" ht="30" customHeight="1" x14ac:dyDescent="0.35">
      <c r="A2251" s="920"/>
      <c r="B2251" s="921"/>
      <c r="C2251" s="922"/>
      <c r="D2251" s="922"/>
      <c r="E2251" s="922"/>
      <c r="F2251" s="922"/>
      <c r="H2251" s="503"/>
      <c r="I2251" s="894" t="s">
        <v>257</v>
      </c>
      <c r="J2251" s="560">
        <f>VLOOKUP(B2239,'Mil Cost Premiums for PUCs'!$A$4:$R$285,18,FALSE)</f>
        <v>1.3319480854780448</v>
      </c>
      <c r="K2251" s="193">
        <f>+K2250*J2251</f>
        <v>191.48146616308929</v>
      </c>
      <c r="L2251" s="186" t="s">
        <v>108</v>
      </c>
      <c r="M2251" s="50"/>
      <c r="N2251" s="50"/>
      <c r="O2251" s="930"/>
      <c r="P2251" s="15"/>
      <c r="Q2251" s="665"/>
      <c r="R2251" s="665"/>
      <c r="S2251" s="665"/>
      <c r="T2251" s="120"/>
      <c r="U2251" s="120"/>
      <c r="V2251" s="665"/>
      <c r="W2251" s="665"/>
    </row>
    <row r="2252" spans="1:25" ht="30" customHeight="1" thickBot="1" x14ac:dyDescent="0.4">
      <c r="A2252" s="920"/>
      <c r="B2252" s="921"/>
      <c r="C2252" s="922"/>
      <c r="D2252" s="922"/>
      <c r="E2252" s="922"/>
      <c r="F2252" s="922"/>
      <c r="H2252" s="503"/>
      <c r="I2252" s="894" t="s">
        <v>3000</v>
      </c>
      <c r="J2252" s="560">
        <v>1.0438745311870361</v>
      </c>
      <c r="K2252" s="193">
        <f>+K2251*J2252</f>
        <v>199.88262572200117</v>
      </c>
      <c r="L2252" s="186" t="s">
        <v>108</v>
      </c>
      <c r="M2252" s="50"/>
      <c r="N2252" s="50"/>
      <c r="O2252" s="665"/>
      <c r="P2252" s="15"/>
      <c r="Q2252" s="665"/>
      <c r="R2252" s="665"/>
      <c r="S2252" s="665"/>
      <c r="T2252" s="120"/>
      <c r="U2252" s="120"/>
      <c r="V2252" s="665"/>
      <c r="W2252" s="665"/>
    </row>
    <row r="2253" spans="1:25" ht="30" customHeight="1" thickBot="1" x14ac:dyDescent="0.4">
      <c r="A2253" s="1199"/>
      <c r="B2253" s="1200"/>
      <c r="C2253" s="1200"/>
      <c r="D2253" s="1200"/>
      <c r="E2253" s="1200"/>
      <c r="F2253" s="1200"/>
      <c r="G2253" s="1200"/>
      <c r="H2253" s="1200"/>
      <c r="I2253" s="1200"/>
      <c r="J2253" s="1200"/>
      <c r="K2253" s="1200"/>
      <c r="L2253" s="1201"/>
      <c r="M2253" s="50"/>
      <c r="N2253" s="50"/>
      <c r="O2253" s="665"/>
      <c r="P2253" s="15"/>
      <c r="Q2253" s="665"/>
      <c r="R2253" s="665"/>
      <c r="S2253" s="665"/>
      <c r="T2253" s="120"/>
      <c r="U2253" s="10"/>
      <c r="X2253" s="396"/>
      <c r="Y2253" s="396"/>
    </row>
    <row r="2254" spans="1:25" s="396" customFormat="1" ht="30" customHeight="1" x14ac:dyDescent="0.35">
      <c r="A2254" s="388" t="s">
        <v>1</v>
      </c>
      <c r="B2254" s="389">
        <v>3181</v>
      </c>
      <c r="C2254" s="1205" t="s">
        <v>1058</v>
      </c>
      <c r="D2254" s="1206"/>
      <c r="E2254" s="392" t="s">
        <v>3</v>
      </c>
      <c r="F2254" s="393" t="s">
        <v>108</v>
      </c>
      <c r="G2254" s="390" t="s">
        <v>1059</v>
      </c>
      <c r="H2254" s="660">
        <v>10146.9545233265</v>
      </c>
      <c r="I2254" s="392" t="s">
        <v>5</v>
      </c>
      <c r="J2254" s="1207" t="s">
        <v>2481</v>
      </c>
      <c r="K2254" s="1207"/>
      <c r="L2254" s="1208"/>
      <c r="M2254" s="50"/>
      <c r="O2254" s="9"/>
      <c r="P2254" s="14"/>
      <c r="Q2254" s="9"/>
      <c r="R2254" s="9"/>
      <c r="S2254" s="9"/>
      <c r="T2254" s="10"/>
      <c r="U2254" s="10"/>
      <c r="V2254" s="9"/>
      <c r="W2254" s="9"/>
      <c r="X2254" s="9"/>
      <c r="Y2254" s="9"/>
    </row>
    <row r="2255" spans="1:25" ht="30" customHeight="1" x14ac:dyDescent="0.35">
      <c r="A2255" s="494" t="s">
        <v>187</v>
      </c>
      <c r="B2255" s="1280" t="s">
        <v>211</v>
      </c>
      <c r="C2255" s="1281"/>
      <c r="D2255" s="1282"/>
      <c r="E2255" s="566" t="s">
        <v>52</v>
      </c>
      <c r="F2255" s="566" t="s">
        <v>53</v>
      </c>
      <c r="G2255" s="1219" t="s">
        <v>54</v>
      </c>
      <c r="H2255" s="1220"/>
      <c r="I2255" s="878" t="s">
        <v>1051</v>
      </c>
      <c r="J2255" s="185" t="s">
        <v>188</v>
      </c>
      <c r="K2255" s="1209" t="s">
        <v>180</v>
      </c>
      <c r="L2255" s="1210"/>
      <c r="M2255" s="50"/>
      <c r="N2255" s="97"/>
    </row>
    <row r="2256" spans="1:25" ht="30" customHeight="1" x14ac:dyDescent="0.35">
      <c r="A2256" s="186" t="s">
        <v>254</v>
      </c>
      <c r="B2256" s="1212" t="s">
        <v>2496</v>
      </c>
      <c r="C2256" s="1213"/>
      <c r="D2256" s="1214"/>
      <c r="E2256" s="194">
        <f>297-3.32</f>
        <v>293.68</v>
      </c>
      <c r="F2256" s="764" t="s">
        <v>108</v>
      </c>
      <c r="G2256" s="764"/>
      <c r="H2256" s="765"/>
      <c r="I2256" s="278"/>
      <c r="J2256" s="186">
        <v>1.1299999999999999</v>
      </c>
      <c r="K2256" s="194">
        <f>+E2256*J2256</f>
        <v>331.85839999999996</v>
      </c>
      <c r="L2256" s="186" t="s">
        <v>108</v>
      </c>
      <c r="M2256" s="50"/>
      <c r="N2256" s="50"/>
      <c r="T2256" s="10"/>
      <c r="U2256" s="10"/>
    </row>
    <row r="2257" spans="1:25" ht="30" customHeight="1" x14ac:dyDescent="0.35">
      <c r="A2257" s="186" t="s">
        <v>254</v>
      </c>
      <c r="B2257" s="1202" t="s">
        <v>1002</v>
      </c>
      <c r="C2257" s="1203"/>
      <c r="D2257" s="1204"/>
      <c r="E2257" s="194">
        <v>46.25</v>
      </c>
      <c r="F2257" s="127" t="s">
        <v>108</v>
      </c>
      <c r="G2257" s="764"/>
      <c r="H2257" s="765"/>
      <c r="I2257" s="278"/>
      <c r="J2257" s="186">
        <v>1.1299999999999999</v>
      </c>
      <c r="K2257" s="194">
        <f>+E2257*J2257</f>
        <v>52.262499999999996</v>
      </c>
      <c r="L2257" s="186" t="s">
        <v>108</v>
      </c>
      <c r="M2257" s="50"/>
      <c r="N2257" s="50"/>
      <c r="T2257" s="10"/>
      <c r="U2257" s="10"/>
    </row>
    <row r="2258" spans="1:25" ht="30" customHeight="1" x14ac:dyDescent="0.35">
      <c r="A2258" s="186" t="s">
        <v>249</v>
      </c>
      <c r="B2258" s="1202" t="s">
        <v>2497</v>
      </c>
      <c r="C2258" s="1203"/>
      <c r="D2258" s="1204"/>
      <c r="E2258" s="194">
        <v>6.79</v>
      </c>
      <c r="F2258" s="127" t="s">
        <v>108</v>
      </c>
      <c r="G2258" s="764"/>
      <c r="H2258" s="765"/>
      <c r="I2258" s="278"/>
      <c r="J2258" s="186">
        <v>1.1299999999999999</v>
      </c>
      <c r="K2258" s="194">
        <f>+E2258*J2258</f>
        <v>7.672699999999999</v>
      </c>
      <c r="L2258" s="186" t="s">
        <v>108</v>
      </c>
      <c r="M2258" s="50"/>
      <c r="N2258" s="97"/>
      <c r="T2258" s="10"/>
      <c r="U2258" s="10"/>
    </row>
    <row r="2259" spans="1:25" ht="30" customHeight="1" x14ac:dyDescent="0.35">
      <c r="A2259" s="186" t="s">
        <v>249</v>
      </c>
      <c r="B2259" s="1212" t="s">
        <v>844</v>
      </c>
      <c r="C2259" s="1213"/>
      <c r="D2259" s="1214"/>
      <c r="E2259" s="193">
        <f>0.15*E2258</f>
        <v>1.0185</v>
      </c>
      <c r="F2259" s="127" t="s">
        <v>108</v>
      </c>
      <c r="G2259" s="412"/>
      <c r="H2259" s="746"/>
      <c r="I2259" s="141"/>
      <c r="J2259" s="186">
        <v>1.1299999999999999</v>
      </c>
      <c r="K2259" s="194">
        <f>+E2259*J2259</f>
        <v>1.1509049999999998</v>
      </c>
      <c r="L2259" s="186" t="s">
        <v>108</v>
      </c>
      <c r="M2259" s="50"/>
      <c r="N2259" s="50"/>
    </row>
    <row r="2260" spans="1:25" ht="30" customHeight="1" x14ac:dyDescent="0.35">
      <c r="A2260" s="186" t="s">
        <v>249</v>
      </c>
      <c r="B2260" s="1558" t="s">
        <v>845</v>
      </c>
      <c r="C2260" s="1558"/>
      <c r="D2260" s="1558"/>
      <c r="E2260" s="272">
        <f xml:space="preserve"> 0.72+((1.42+2.11)/2)</f>
        <v>2.4849999999999999</v>
      </c>
      <c r="F2260" s="271" t="s">
        <v>108</v>
      </c>
      <c r="G2260" s="117"/>
      <c r="H2260" s="554"/>
      <c r="I2260" s="141"/>
      <c r="J2260" s="186">
        <v>1.1299999999999999</v>
      </c>
      <c r="K2260" s="194">
        <f>+E2260*J2260</f>
        <v>2.8080499999999997</v>
      </c>
      <c r="L2260" s="186" t="s">
        <v>108</v>
      </c>
      <c r="M2260" s="50"/>
      <c r="N2260" s="96"/>
      <c r="T2260" s="10"/>
      <c r="U2260" s="10"/>
    </row>
    <row r="2261" spans="1:25" ht="30" customHeight="1" x14ac:dyDescent="0.35">
      <c r="A2261" s="186" t="s">
        <v>268</v>
      </c>
      <c r="B2261" s="1212" t="s">
        <v>2501</v>
      </c>
      <c r="C2261" s="1213"/>
      <c r="D2261" s="1214"/>
      <c r="E2261" s="194">
        <f>(24+37.25)/2</f>
        <v>30.625</v>
      </c>
      <c r="F2261" s="127" t="s">
        <v>108</v>
      </c>
      <c r="G2261" s="117">
        <f>120*2</f>
        <v>240</v>
      </c>
      <c r="H2261" s="554" t="s">
        <v>275</v>
      </c>
      <c r="I2261" s="141">
        <f>+E2261*G2261/H2254</f>
        <v>0.72435527163380176</v>
      </c>
      <c r="J2261" s="186">
        <v>1.22</v>
      </c>
      <c r="K2261" s="7">
        <f>+I2261*J2261</f>
        <v>0.8837134313932381</v>
      </c>
      <c r="L2261" s="186" t="s">
        <v>108</v>
      </c>
      <c r="M2261" s="95"/>
      <c r="N2261" s="50"/>
      <c r="T2261" s="10"/>
      <c r="U2261" s="10"/>
    </row>
    <row r="2262" spans="1:25" ht="30" customHeight="1" x14ac:dyDescent="0.35">
      <c r="A2262" s="186" t="s">
        <v>268</v>
      </c>
      <c r="B2262" s="1212" t="s">
        <v>2502</v>
      </c>
      <c r="C2262" s="1213"/>
      <c r="D2262" s="1214"/>
      <c r="E2262" s="194">
        <f>(2020+2850)/2</f>
        <v>2435</v>
      </c>
      <c r="F2262" s="127" t="s">
        <v>40</v>
      </c>
      <c r="G2262" s="117"/>
      <c r="H2262" s="554"/>
      <c r="I2262" s="141">
        <f>2*E2262/H2254</f>
        <v>0.47994696229341693</v>
      </c>
      <c r="J2262" s="186">
        <v>1.22</v>
      </c>
      <c r="K2262" s="7">
        <f>+I2262*J2262</f>
        <v>0.58553529399796866</v>
      </c>
      <c r="L2262" s="186" t="s">
        <v>108</v>
      </c>
      <c r="M2262" s="50"/>
      <c r="N2262" s="50"/>
      <c r="T2262" s="10"/>
      <c r="U2262" s="10"/>
    </row>
    <row r="2263" spans="1:25" ht="30" customHeight="1" x14ac:dyDescent="0.35">
      <c r="A2263" s="186" t="s">
        <v>271</v>
      </c>
      <c r="B2263" s="1212" t="s">
        <v>2486</v>
      </c>
      <c r="C2263" s="1213"/>
      <c r="D2263" s="1214"/>
      <c r="E2263" s="194">
        <v>72.38</v>
      </c>
      <c r="F2263" s="127" t="s">
        <v>28</v>
      </c>
      <c r="G2263" s="117">
        <v>20</v>
      </c>
      <c r="H2263" s="554" t="s">
        <v>965</v>
      </c>
      <c r="I2263" s="141">
        <f>+E2263*G2263/H2254</f>
        <v>0.14266349540368589</v>
      </c>
      <c r="J2263" s="186">
        <v>1.1200000000000001</v>
      </c>
      <c r="K2263" s="7">
        <f>+I2263*J2263</f>
        <v>0.15978311485212821</v>
      </c>
      <c r="L2263" s="186" t="s">
        <v>108</v>
      </c>
      <c r="M2263" s="50"/>
      <c r="N2263" s="50"/>
    </row>
    <row r="2264" spans="1:25" ht="30" customHeight="1" x14ac:dyDescent="0.35">
      <c r="A2264" s="186" t="s">
        <v>333</v>
      </c>
      <c r="B2264" s="1212" t="s">
        <v>1052</v>
      </c>
      <c r="C2264" s="1213"/>
      <c r="D2264" s="1214"/>
      <c r="E2264" s="194">
        <v>162000</v>
      </c>
      <c r="F2264" s="186" t="s">
        <v>40</v>
      </c>
      <c r="G2264" s="875">
        <f>+H2254</f>
        <v>10146.9545233265</v>
      </c>
      <c r="H2264" s="534" t="s">
        <v>933</v>
      </c>
      <c r="I2264" s="534"/>
      <c r="J2264" s="186">
        <v>1.26</v>
      </c>
      <c r="K2264" s="194">
        <f>+E2264/G2264*J2264</f>
        <v>20.116380686515864</v>
      </c>
      <c r="L2264" s="186" t="s">
        <v>108</v>
      </c>
      <c r="M2264" s="50"/>
      <c r="T2264" s="10"/>
      <c r="U2264" s="10"/>
    </row>
    <row r="2265" spans="1:25" ht="30" customHeight="1" x14ac:dyDescent="0.35">
      <c r="A2265" s="186" t="s">
        <v>333</v>
      </c>
      <c r="B2265" s="1212" t="s">
        <v>1053</v>
      </c>
      <c r="C2265" s="1213"/>
      <c r="D2265" s="1214"/>
      <c r="E2265" s="194">
        <f>+(281+307)/2</f>
        <v>294</v>
      </c>
      <c r="F2265" s="127" t="s">
        <v>28</v>
      </c>
      <c r="G2265" s="560">
        <f>150/H2254</f>
        <v>1.4782760645587791E-2</v>
      </c>
      <c r="H2265" s="534" t="s">
        <v>1054</v>
      </c>
      <c r="I2265" s="534"/>
      <c r="J2265" s="186">
        <v>1.26</v>
      </c>
      <c r="K2265" s="194">
        <f>+E2265*G2265*J2265</f>
        <v>5.4761258535515411</v>
      </c>
      <c r="L2265" s="186" t="s">
        <v>108</v>
      </c>
      <c r="M2265" s="50"/>
      <c r="T2265" s="10"/>
      <c r="U2265" s="10"/>
    </row>
    <row r="2266" spans="1:25" ht="30" customHeight="1" x14ac:dyDescent="0.35">
      <c r="A2266" s="186" t="s">
        <v>333</v>
      </c>
      <c r="B2266" s="1212" t="s">
        <v>335</v>
      </c>
      <c r="C2266" s="1213"/>
      <c r="D2266" s="1214"/>
      <c r="E2266" s="194">
        <f>+(27.25+55)/2</f>
        <v>41.125</v>
      </c>
      <c r="F2266" s="127" t="s">
        <v>28</v>
      </c>
      <c r="G2266" s="560">
        <f>150/H2254</f>
        <v>1.4782760645587791E-2</v>
      </c>
      <c r="H2266" s="534" t="s">
        <v>1054</v>
      </c>
      <c r="I2266" s="534"/>
      <c r="J2266" s="186">
        <v>1.26</v>
      </c>
      <c r="K2266" s="194">
        <f>+E2266*G2266*J2266</f>
        <v>0.76600569975274524</v>
      </c>
      <c r="L2266" s="186" t="s">
        <v>108</v>
      </c>
      <c r="M2266" s="50"/>
      <c r="N2266" s="50"/>
      <c r="T2266" s="10"/>
      <c r="U2266" s="10"/>
    </row>
    <row r="2267" spans="1:25" ht="30" customHeight="1" x14ac:dyDescent="0.35">
      <c r="A2267" s="186"/>
      <c r="B2267" s="1264"/>
      <c r="C2267" s="1264"/>
      <c r="D2267" s="1264"/>
      <c r="E2267" s="194"/>
      <c r="F2267" s="186"/>
      <c r="G2267" s="503"/>
      <c r="H2267" s="534"/>
      <c r="I2267" s="534"/>
      <c r="J2267" s="186" t="s">
        <v>223</v>
      </c>
      <c r="K2267" s="194">
        <f>SUM(K2256:K2266)</f>
        <v>423.74009908006343</v>
      </c>
      <c r="L2267" s="186" t="s">
        <v>108</v>
      </c>
      <c r="M2267" s="50"/>
      <c r="N2267" s="50"/>
    </row>
    <row r="2268" spans="1:25" ht="30" customHeight="1" x14ac:dyDescent="0.35">
      <c r="A2268" s="186"/>
      <c r="B2268" s="567"/>
      <c r="C2268" s="567"/>
      <c r="D2268" s="567"/>
      <c r="E2268" s="567"/>
      <c r="F2268" s="1215" t="s">
        <v>195</v>
      </c>
      <c r="G2268" s="1273" t="s">
        <v>196</v>
      </c>
      <c r="H2268" s="1273"/>
      <c r="I2268" s="1273"/>
      <c r="J2268" s="1273"/>
      <c r="K2268" s="196">
        <v>1.04</v>
      </c>
      <c r="L2268" s="186"/>
      <c r="M2268" s="50"/>
      <c r="N2268" s="50"/>
      <c r="T2268" s="10"/>
      <c r="U2268" s="10"/>
    </row>
    <row r="2269" spans="1:25" ht="30" customHeight="1" x14ac:dyDescent="0.35">
      <c r="A2269" s="186"/>
      <c r="B2269" s="567"/>
      <c r="C2269" s="567"/>
      <c r="D2269" s="567"/>
      <c r="E2269" s="567"/>
      <c r="F2269" s="1216"/>
      <c r="G2269" s="1268" t="s">
        <v>2477</v>
      </c>
      <c r="H2269" s="1268"/>
      <c r="I2269" s="1268"/>
      <c r="J2269" s="1268"/>
      <c r="K2269" s="196">
        <v>1.05</v>
      </c>
      <c r="L2269" s="186"/>
      <c r="M2269" s="50"/>
      <c r="N2269" s="50"/>
      <c r="T2269" s="10"/>
      <c r="U2269" s="10"/>
      <c r="X2269" s="396"/>
      <c r="Y2269" s="396"/>
    </row>
    <row r="2270" spans="1:25" s="396" customFormat="1" ht="30" customHeight="1" x14ac:dyDescent="0.35">
      <c r="A2270" s="186"/>
      <c r="B2270" s="186"/>
      <c r="C2270" s="503"/>
      <c r="D2270" s="503"/>
      <c r="E2270" s="503"/>
      <c r="F2270" s="503"/>
      <c r="G2270" s="503"/>
      <c r="H2270" s="503"/>
      <c r="I2270" s="503"/>
      <c r="J2270" s="186" t="s">
        <v>37</v>
      </c>
      <c r="K2270" s="193">
        <f>+K2267*K2268/K2269</f>
        <v>419.70447908882471</v>
      </c>
      <c r="L2270" s="186" t="s">
        <v>108</v>
      </c>
      <c r="M2270" s="50"/>
      <c r="N2270" s="50"/>
      <c r="O2270" s="9"/>
      <c r="P2270" s="14"/>
      <c r="Q2270" s="9"/>
      <c r="R2270" s="9"/>
      <c r="S2270" s="9"/>
      <c r="T2270" s="10"/>
      <c r="U2270" s="10"/>
      <c r="V2270" s="9"/>
      <c r="W2270" s="9"/>
      <c r="X2270" s="9"/>
      <c r="Y2270" s="9"/>
    </row>
    <row r="2271" spans="1:25" ht="30" customHeight="1" x14ac:dyDescent="0.35">
      <c r="A2271" s="186"/>
      <c r="B2271" s="186"/>
      <c r="C2271" s="503"/>
      <c r="D2271" s="503"/>
      <c r="E2271" s="503"/>
      <c r="G2271" s="503"/>
      <c r="H2271" s="503"/>
      <c r="I2271" s="538" t="s">
        <v>257</v>
      </c>
      <c r="J2271" s="560">
        <f>VLOOKUP(B2254,'Mil Cost Premiums for PUCs'!$A$4:$R$285,18,FALSE)</f>
        <v>1.2969309498325658</v>
      </c>
      <c r="K2271" s="193">
        <f>+K2270*J2271</f>
        <v>544.32772871365171</v>
      </c>
      <c r="L2271" s="186" t="s">
        <v>108</v>
      </c>
      <c r="M2271" s="50"/>
      <c r="N2271" s="50"/>
      <c r="T2271" s="53"/>
      <c r="U2271" s="53"/>
      <c r="X2271" s="396"/>
      <c r="Y2271" s="396"/>
    </row>
    <row r="2272" spans="1:25" s="396" customFormat="1" ht="30" customHeight="1" thickBot="1" x14ac:dyDescent="0.4">
      <c r="A2272" s="186"/>
      <c r="B2272" s="186"/>
      <c r="C2272" s="503"/>
      <c r="D2272" s="503"/>
      <c r="E2272" s="503"/>
      <c r="F2272" s="9"/>
      <c r="G2272" s="503"/>
      <c r="H2272" s="503"/>
      <c r="I2272" s="538" t="s">
        <v>3000</v>
      </c>
      <c r="J2272" s="560">
        <v>1.0438745311870361</v>
      </c>
      <c r="K2272" s="193">
        <f>+K2271*J2272</f>
        <v>568.20985262306738</v>
      </c>
      <c r="L2272" s="186" t="s">
        <v>108</v>
      </c>
      <c r="M2272" s="50"/>
      <c r="N2272" s="50"/>
      <c r="O2272" s="5"/>
      <c r="P2272" s="14"/>
      <c r="Q2272" s="9"/>
      <c r="R2272" s="9"/>
      <c r="S2272" s="9"/>
      <c r="T2272" s="9"/>
      <c r="U2272" s="9"/>
      <c r="V2272" s="10"/>
      <c r="W2272" s="10"/>
      <c r="X2272" s="9"/>
      <c r="Y2272" s="9"/>
    </row>
    <row r="2273" spans="1:23" ht="30" customHeight="1" thickBot="1" x14ac:dyDescent="0.4">
      <c r="A2273" s="1199"/>
      <c r="B2273" s="1200"/>
      <c r="C2273" s="1200"/>
      <c r="D2273" s="1200"/>
      <c r="E2273" s="1200"/>
      <c r="F2273" s="1200"/>
      <c r="G2273" s="1200"/>
      <c r="H2273" s="1200"/>
      <c r="I2273" s="1200"/>
      <c r="J2273" s="1200"/>
      <c r="K2273" s="1200"/>
      <c r="L2273" s="1201"/>
      <c r="M2273" s="50"/>
      <c r="N2273" s="50"/>
      <c r="O2273" s="5"/>
      <c r="U2273" s="10"/>
    </row>
    <row r="2274" spans="1:23" ht="30" customHeight="1" x14ac:dyDescent="0.35">
      <c r="A2274" s="388" t="s">
        <v>1</v>
      </c>
      <c r="B2274" s="389">
        <v>3191</v>
      </c>
      <c r="C2274" s="1581" t="s">
        <v>1061</v>
      </c>
      <c r="D2274" s="1581"/>
      <c r="E2274" s="392" t="s">
        <v>3</v>
      </c>
      <c r="F2274" s="393" t="s">
        <v>108</v>
      </c>
      <c r="G2274" s="390" t="s">
        <v>38</v>
      </c>
      <c r="H2274" s="886">
        <v>8995.2765366317708</v>
      </c>
      <c r="I2274" s="392" t="s">
        <v>5</v>
      </c>
      <c r="J2274" s="1304" t="s">
        <v>2861</v>
      </c>
      <c r="K2274" s="1305"/>
      <c r="L2274" s="1306"/>
      <c r="M2274" s="50"/>
      <c r="N2274" s="96"/>
      <c r="T2274" s="10"/>
      <c r="U2274" s="10"/>
    </row>
    <row r="2275" spans="1:23" ht="30" customHeight="1" x14ac:dyDescent="0.35">
      <c r="A2275" s="185" t="s">
        <v>177</v>
      </c>
      <c r="B2275" s="1272" t="s">
        <v>7</v>
      </c>
      <c r="C2275" s="1272"/>
      <c r="D2275" s="1272"/>
      <c r="E2275" s="492" t="s">
        <v>178</v>
      </c>
      <c r="F2275" s="397" t="s">
        <v>52</v>
      </c>
      <c r="G2275" s="185"/>
      <c r="H2275" s="185"/>
      <c r="I2275" s="1221" t="s">
        <v>179</v>
      </c>
      <c r="J2275" s="1222"/>
      <c r="K2275" s="1209" t="s">
        <v>180</v>
      </c>
      <c r="L2275" s="1210"/>
      <c r="M2275" s="50"/>
      <c r="N2275" s="50"/>
      <c r="T2275" s="10"/>
      <c r="U2275" s="10"/>
    </row>
    <row r="2276" spans="1:23" ht="30" customHeight="1" x14ac:dyDescent="0.35">
      <c r="A2276" s="401" t="s">
        <v>181</v>
      </c>
      <c r="B2276" s="1265" t="s">
        <v>2938</v>
      </c>
      <c r="C2276" s="1265"/>
      <c r="D2276" s="1265"/>
      <c r="E2276" s="531">
        <v>19000</v>
      </c>
      <c r="F2276" s="187">
        <v>942</v>
      </c>
      <c r="G2276" s="532"/>
      <c r="H2276" s="533"/>
      <c r="I2276" s="1217" t="str">
        <f>+$I$310</f>
        <v>NA;  GUCs are as of October 2023</v>
      </c>
      <c r="J2276" s="1218"/>
      <c r="K2276" s="187">
        <f>+F2276</f>
        <v>942</v>
      </c>
      <c r="L2276" s="401" t="s">
        <v>108</v>
      </c>
      <c r="M2276" s="50"/>
      <c r="N2276" s="50"/>
      <c r="O2276" s="491"/>
      <c r="T2276" s="10"/>
      <c r="U2276" s="10"/>
    </row>
    <row r="2277" spans="1:23" ht="30" customHeight="1" thickBot="1" x14ac:dyDescent="0.4">
      <c r="A2277" s="920"/>
      <c r="B2277" s="931"/>
      <c r="C2277" s="931"/>
      <c r="D2277" s="931"/>
      <c r="E2277" s="931"/>
      <c r="F2277" s="931"/>
      <c r="G2277" s="931"/>
      <c r="H2277" s="503"/>
      <c r="I2277" s="503"/>
      <c r="J2277" s="494" t="s">
        <v>37</v>
      </c>
      <c r="K2277" s="193">
        <f>+K2276</f>
        <v>942</v>
      </c>
      <c r="L2277" s="186" t="s">
        <v>108</v>
      </c>
      <c r="M2277" s="50"/>
      <c r="N2277" s="50"/>
      <c r="O2277" s="491"/>
      <c r="T2277" s="10"/>
      <c r="U2277" s="10"/>
    </row>
    <row r="2278" spans="1:23" ht="30" customHeight="1" thickBot="1" x14ac:dyDescent="0.4">
      <c r="A2278" s="1199"/>
      <c r="B2278" s="1200"/>
      <c r="C2278" s="1200"/>
      <c r="D2278" s="1200"/>
      <c r="E2278" s="1200"/>
      <c r="F2278" s="1200"/>
      <c r="G2278" s="1200"/>
      <c r="H2278" s="1200"/>
      <c r="I2278" s="1200"/>
      <c r="J2278" s="1200"/>
      <c r="K2278" s="1200"/>
      <c r="L2278" s="1201"/>
      <c r="M2278" s="96"/>
      <c r="N2278" s="50"/>
      <c r="O2278" s="491"/>
      <c r="T2278" s="10"/>
      <c r="U2278" s="10"/>
    </row>
    <row r="2279" spans="1:23" ht="30" customHeight="1" x14ac:dyDescent="0.35">
      <c r="A2279" s="455" t="s">
        <v>1</v>
      </c>
      <c r="B2279" s="439">
        <v>3201</v>
      </c>
      <c r="C2279" s="1657" t="s">
        <v>1066</v>
      </c>
      <c r="D2279" s="1657"/>
      <c r="E2279" s="456" t="s">
        <v>3</v>
      </c>
      <c r="F2279" s="457" t="s">
        <v>108</v>
      </c>
      <c r="G2279" s="468" t="s">
        <v>38</v>
      </c>
      <c r="H2279" s="879">
        <v>10205</v>
      </c>
      <c r="I2279" s="456" t="s">
        <v>5</v>
      </c>
      <c r="J2279" s="1207" t="s">
        <v>2874</v>
      </c>
      <c r="K2279" s="1207"/>
      <c r="L2279" s="1208"/>
      <c r="M2279" s="95"/>
      <c r="N2279" s="97"/>
      <c r="T2279" s="10"/>
      <c r="U2279" s="10"/>
    </row>
    <row r="2280" spans="1:23" ht="30" customHeight="1" x14ac:dyDescent="0.35">
      <c r="A2280" s="494" t="s">
        <v>187</v>
      </c>
      <c r="B2280" s="1280" t="s">
        <v>211</v>
      </c>
      <c r="C2280" s="1281"/>
      <c r="D2280" s="1282"/>
      <c r="E2280" s="566" t="s">
        <v>52</v>
      </c>
      <c r="F2280" s="566" t="s">
        <v>53</v>
      </c>
      <c r="G2280" s="1209" t="s">
        <v>54</v>
      </c>
      <c r="H2280" s="1210"/>
      <c r="I2280" s="878" t="s">
        <v>841</v>
      </c>
      <c r="J2280" s="185" t="s">
        <v>188</v>
      </c>
      <c r="K2280" s="1209" t="s">
        <v>180</v>
      </c>
      <c r="L2280" s="1210"/>
      <c r="M2280" s="50"/>
      <c r="N2280" s="50"/>
      <c r="T2280" s="10"/>
      <c r="U2280" s="10"/>
    </row>
    <row r="2281" spans="1:23" ht="30" customHeight="1" x14ac:dyDescent="0.35">
      <c r="A2281" s="186" t="s">
        <v>827</v>
      </c>
      <c r="B2281" s="1212" t="s">
        <v>1028</v>
      </c>
      <c r="C2281" s="1213"/>
      <c r="D2281" s="1214"/>
      <c r="E2281" s="214">
        <v>117</v>
      </c>
      <c r="F2281" s="186" t="s">
        <v>108</v>
      </c>
      <c r="G2281" s="707"/>
      <c r="H2281" s="708"/>
      <c r="I2281" s="61">
        <f>+E2281</f>
        <v>117</v>
      </c>
      <c r="J2281" s="186">
        <v>1.1399999999999999</v>
      </c>
      <c r="K2281" s="216">
        <f t="shared" ref="K2281:K2291" si="53">+I2281*J2281</f>
        <v>133.38</v>
      </c>
      <c r="L2281" s="186" t="s">
        <v>108</v>
      </c>
      <c r="M2281" s="50"/>
      <c r="N2281" s="50"/>
      <c r="O2281" s="572"/>
      <c r="P2281" s="384"/>
      <c r="Q2281" s="396"/>
      <c r="R2281" s="396"/>
      <c r="S2281" s="396"/>
      <c r="T2281" s="396"/>
      <c r="U2281" s="10"/>
    </row>
    <row r="2282" spans="1:23" ht="30" customHeight="1" x14ac:dyDescent="0.35">
      <c r="A2282" s="186" t="s">
        <v>249</v>
      </c>
      <c r="B2282" s="1212" t="s">
        <v>256</v>
      </c>
      <c r="C2282" s="1213"/>
      <c r="D2282" s="1214"/>
      <c r="E2282" s="60">
        <v>5.38</v>
      </c>
      <c r="F2282" s="186" t="s">
        <v>108</v>
      </c>
      <c r="G2282" s="117"/>
      <c r="H2282" s="554"/>
      <c r="I2282" s="145">
        <f>+E2282</f>
        <v>5.38</v>
      </c>
      <c r="J2282" s="186">
        <v>1.1399999999999999</v>
      </c>
      <c r="K2282" s="216">
        <f t="shared" si="53"/>
        <v>6.1331999999999995</v>
      </c>
      <c r="L2282" s="186" t="s">
        <v>108</v>
      </c>
      <c r="M2282" s="50"/>
      <c r="N2282" s="50"/>
    </row>
    <row r="2283" spans="1:23" ht="30" customHeight="1" x14ac:dyDescent="0.35">
      <c r="A2283" s="186" t="s">
        <v>333</v>
      </c>
      <c r="B2283" s="1212" t="s">
        <v>1067</v>
      </c>
      <c r="C2283" s="1213"/>
      <c r="D2283" s="1214"/>
      <c r="E2283" s="214">
        <v>199000</v>
      </c>
      <c r="F2283" s="127" t="s">
        <v>40</v>
      </c>
      <c r="G2283" s="144">
        <f>+E2283/H2279</f>
        <v>19.500244977951983</v>
      </c>
      <c r="H2283" s="554" t="s">
        <v>847</v>
      </c>
      <c r="I2283" s="145">
        <f>+G2283</f>
        <v>19.500244977951983</v>
      </c>
      <c r="J2283" s="186">
        <v>1.01</v>
      </c>
      <c r="K2283" s="216">
        <f t="shared" si="53"/>
        <v>19.695247427731502</v>
      </c>
      <c r="L2283" s="186" t="s">
        <v>108</v>
      </c>
      <c r="M2283" s="97"/>
      <c r="N2283" s="50"/>
      <c r="V2283" s="396"/>
      <c r="W2283" s="396"/>
    </row>
    <row r="2284" spans="1:23" ht="30" customHeight="1" x14ac:dyDescent="0.35">
      <c r="A2284" s="186" t="s">
        <v>333</v>
      </c>
      <c r="B2284" s="1212" t="s">
        <v>1068</v>
      </c>
      <c r="C2284" s="1213"/>
      <c r="D2284" s="1214"/>
      <c r="E2284" s="214">
        <f>+(344+377)/2</f>
        <v>360.5</v>
      </c>
      <c r="F2284" s="127" t="s">
        <v>28</v>
      </c>
      <c r="G2284" s="144">
        <f>200*E2284/H2279</f>
        <v>7.0651641352278292</v>
      </c>
      <c r="H2284" s="554" t="s">
        <v>847</v>
      </c>
      <c r="I2284" s="145">
        <f>+G2284</f>
        <v>7.0651641352278292</v>
      </c>
      <c r="J2284" s="186">
        <v>1.01</v>
      </c>
      <c r="K2284" s="216">
        <f t="shared" si="53"/>
        <v>7.1358157765801078</v>
      </c>
      <c r="L2284" s="186" t="s">
        <v>108</v>
      </c>
      <c r="M2284" s="50"/>
      <c r="N2284" s="96"/>
      <c r="T2284" s="10"/>
      <c r="U2284" s="53"/>
    </row>
    <row r="2285" spans="1:23" ht="30" customHeight="1" x14ac:dyDescent="0.35">
      <c r="A2285" s="186" t="s">
        <v>333</v>
      </c>
      <c r="B2285" s="1212" t="s">
        <v>1069</v>
      </c>
      <c r="C2285" s="1213"/>
      <c r="D2285" s="1214"/>
      <c r="E2285" s="214">
        <f>(33.5+67.5)/2</f>
        <v>50.5</v>
      </c>
      <c r="F2285" s="127" t="s">
        <v>28</v>
      </c>
      <c r="G2285" s="144">
        <f>200*E2285/H2279</f>
        <v>0.98971092601665855</v>
      </c>
      <c r="H2285" s="554" t="s">
        <v>847</v>
      </c>
      <c r="I2285" s="145">
        <f>+G2285</f>
        <v>0.98971092601665855</v>
      </c>
      <c r="J2285" s="186">
        <v>1.01</v>
      </c>
      <c r="K2285" s="216">
        <f t="shared" si="53"/>
        <v>0.99960803527682518</v>
      </c>
      <c r="L2285" s="186" t="s">
        <v>108</v>
      </c>
      <c r="M2285" s="50"/>
      <c r="N2285" s="50"/>
      <c r="T2285" s="53"/>
      <c r="U2285" s="10"/>
    </row>
    <row r="2286" spans="1:23" ht="30" customHeight="1" x14ac:dyDescent="0.35">
      <c r="A2286" s="186" t="s">
        <v>268</v>
      </c>
      <c r="B2286" s="1212" t="s">
        <v>1057</v>
      </c>
      <c r="C2286" s="1213"/>
      <c r="D2286" s="1214"/>
      <c r="E2286" s="214">
        <f>(27.5+42.75)/2</f>
        <v>35.125</v>
      </c>
      <c r="F2286" s="127" t="s">
        <v>108</v>
      </c>
      <c r="G2286" s="932">
        <f>81*E2286</f>
        <v>2845.125</v>
      </c>
      <c r="H2286" s="554"/>
      <c r="I2286" s="145">
        <f>+G2286/H2279</f>
        <v>0.27879715825575696</v>
      </c>
      <c r="J2286" s="186">
        <v>0.99</v>
      </c>
      <c r="K2286" s="216">
        <f t="shared" si="53"/>
        <v>0.2760091866731994</v>
      </c>
      <c r="L2286" s="186" t="s">
        <v>108</v>
      </c>
      <c r="M2286" s="50"/>
      <c r="N2286" s="50"/>
      <c r="T2286" s="10"/>
    </row>
    <row r="2287" spans="1:23" ht="30" customHeight="1" x14ac:dyDescent="0.35">
      <c r="A2287" s="186" t="s">
        <v>268</v>
      </c>
      <c r="B2287" s="1212" t="s">
        <v>270</v>
      </c>
      <c r="C2287" s="1213"/>
      <c r="D2287" s="1214"/>
      <c r="E2287" s="214">
        <f>(2320+3275)/2</f>
        <v>2797.5</v>
      </c>
      <c r="F2287" s="127"/>
      <c r="G2287" s="144">
        <f>+E2287</f>
        <v>2797.5</v>
      </c>
      <c r="H2287" s="554"/>
      <c r="I2287" s="145">
        <f>+G2287/H2279</f>
        <v>0.27413032827045564</v>
      </c>
      <c r="J2287" s="186">
        <v>0.99</v>
      </c>
      <c r="K2287" s="216">
        <f t="shared" si="53"/>
        <v>0.27138902498775108</v>
      </c>
      <c r="L2287" s="186" t="s">
        <v>108</v>
      </c>
      <c r="M2287" s="50"/>
      <c r="N2287" s="50"/>
      <c r="O2287" s="5"/>
      <c r="P2287" s="9"/>
      <c r="Q2287" s="34"/>
      <c r="R2287" s="5"/>
      <c r="S2287" s="35"/>
    </row>
    <row r="2288" spans="1:23" ht="30" customHeight="1" x14ac:dyDescent="0.35">
      <c r="A2288" s="186" t="s">
        <v>271</v>
      </c>
      <c r="B2288" s="1212" t="s">
        <v>1070</v>
      </c>
      <c r="C2288" s="1213"/>
      <c r="D2288" s="1214"/>
      <c r="E2288" s="194">
        <f>(42.75+102)/2</f>
        <v>72.375</v>
      </c>
      <c r="F2288" s="127" t="s">
        <v>28</v>
      </c>
      <c r="G2288" s="117">
        <v>10</v>
      </c>
      <c r="H2288" s="554" t="s">
        <v>965</v>
      </c>
      <c r="I2288" s="145">
        <f>+E2288*G2288/H2279</f>
        <v>7.0921117099461042E-2</v>
      </c>
      <c r="J2288" s="186">
        <v>1.1000000000000001</v>
      </c>
      <c r="K2288" s="216">
        <f t="shared" si="53"/>
        <v>7.8013228809407156E-2</v>
      </c>
      <c r="L2288" s="186" t="s">
        <v>108</v>
      </c>
      <c r="M2288" s="96"/>
      <c r="N2288" s="50"/>
      <c r="O2288" s="5"/>
      <c r="P2288" s="9"/>
      <c r="Q2288" s="34"/>
      <c r="R2288" s="5"/>
      <c r="S2288" s="35"/>
    </row>
    <row r="2289" spans="1:23" ht="30" customHeight="1" x14ac:dyDescent="0.35">
      <c r="A2289" s="186" t="s">
        <v>271</v>
      </c>
      <c r="B2289" s="1212" t="s">
        <v>1062</v>
      </c>
      <c r="C2289" s="1213"/>
      <c r="D2289" s="1214"/>
      <c r="E2289" s="194">
        <f>(8000+15300)/2</f>
        <v>11650</v>
      </c>
      <c r="F2289" s="127" t="s">
        <v>40</v>
      </c>
      <c r="G2289" s="117">
        <v>1</v>
      </c>
      <c r="H2289" s="554" t="s">
        <v>847</v>
      </c>
      <c r="I2289" s="145">
        <f>+E2289/H2279</f>
        <v>1.1415972562469379</v>
      </c>
      <c r="J2289" s="186">
        <v>1.1000000000000001</v>
      </c>
      <c r="K2289" s="216">
        <f t="shared" si="53"/>
        <v>1.2557569818716317</v>
      </c>
      <c r="L2289" s="186" t="s">
        <v>108</v>
      </c>
      <c r="M2289" s="50"/>
      <c r="N2289" s="96"/>
      <c r="O2289" s="5"/>
      <c r="P2289" s="9"/>
      <c r="Q2289" s="34"/>
      <c r="R2289" s="5"/>
      <c r="S2289" s="35"/>
    </row>
    <row r="2290" spans="1:23" ht="30" customHeight="1" x14ac:dyDescent="0.35">
      <c r="A2290" s="186" t="s">
        <v>271</v>
      </c>
      <c r="B2290" s="1212" t="s">
        <v>1063</v>
      </c>
      <c r="C2290" s="1213"/>
      <c r="D2290" s="1214"/>
      <c r="E2290" s="194">
        <f>(820+1260)/2</f>
        <v>1040</v>
      </c>
      <c r="F2290" s="127" t="s">
        <v>40</v>
      </c>
      <c r="G2290" s="117">
        <v>1</v>
      </c>
      <c r="H2290" s="554" t="s">
        <v>847</v>
      </c>
      <c r="I2290" s="145">
        <f>+E2290/H2279</f>
        <v>0.10191082802547771</v>
      </c>
      <c r="J2290" s="186">
        <v>1.1000000000000001</v>
      </c>
      <c r="K2290" s="216">
        <f t="shared" si="53"/>
        <v>0.11210191082802549</v>
      </c>
      <c r="L2290" s="186" t="s">
        <v>108</v>
      </c>
      <c r="M2290" s="50"/>
      <c r="N2290" s="96"/>
      <c r="O2290" s="5"/>
      <c r="P2290" s="9"/>
      <c r="Q2290" s="34"/>
      <c r="R2290" s="5"/>
      <c r="S2290" s="35"/>
    </row>
    <row r="2291" spans="1:23" ht="30" customHeight="1" x14ac:dyDescent="0.35">
      <c r="A2291" s="186" t="s">
        <v>271</v>
      </c>
      <c r="B2291" s="1212" t="s">
        <v>1064</v>
      </c>
      <c r="C2291" s="1213"/>
      <c r="D2291" s="1214"/>
      <c r="E2291" s="194">
        <f>+(1440+4300)/2</f>
        <v>2870</v>
      </c>
      <c r="F2291" s="127" t="s">
        <v>40</v>
      </c>
      <c r="G2291" s="117">
        <v>1</v>
      </c>
      <c r="H2291" s="554" t="s">
        <v>847</v>
      </c>
      <c r="I2291" s="145">
        <f>+E2291/H2279</f>
        <v>0.28123468887800096</v>
      </c>
      <c r="J2291" s="186">
        <v>1.1000000000000001</v>
      </c>
      <c r="K2291" s="216">
        <f t="shared" si="53"/>
        <v>0.30935815776580106</v>
      </c>
      <c r="L2291" s="186" t="s">
        <v>108</v>
      </c>
      <c r="M2291" s="50"/>
      <c r="N2291" s="96"/>
      <c r="O2291" s="5"/>
      <c r="P2291" s="9"/>
      <c r="Q2291" s="34"/>
      <c r="R2291" s="5"/>
      <c r="S2291" s="35"/>
    </row>
    <row r="2292" spans="1:23" ht="30" customHeight="1" x14ac:dyDescent="0.35">
      <c r="A2292" s="186"/>
      <c r="B2292" s="1264"/>
      <c r="C2292" s="1264"/>
      <c r="D2292" s="1264"/>
      <c r="E2292" s="209"/>
      <c r="F2292" s="503"/>
      <c r="G2292" s="534"/>
      <c r="H2292" s="534"/>
      <c r="I2292" s="186"/>
      <c r="J2292" s="186" t="s">
        <v>251</v>
      </c>
      <c r="K2292" s="216">
        <f>SUM(K2281:K2291)</f>
        <v>169.6464997305242</v>
      </c>
      <c r="L2292" s="186" t="s">
        <v>108</v>
      </c>
      <c r="M2292" s="50"/>
      <c r="N2292" s="96"/>
      <c r="O2292" s="5"/>
      <c r="P2292" s="9"/>
      <c r="Q2292" s="34"/>
      <c r="R2292" s="5"/>
      <c r="S2292" s="35"/>
    </row>
    <row r="2293" spans="1:23" ht="30" customHeight="1" x14ac:dyDescent="0.35">
      <c r="A2293" s="186"/>
      <c r="B2293" s="567"/>
      <c r="C2293" s="567"/>
      <c r="D2293" s="567"/>
      <c r="E2293" s="567"/>
      <c r="F2293" s="1215" t="s">
        <v>195</v>
      </c>
      <c r="G2293" s="1273" t="s">
        <v>196</v>
      </c>
      <c r="H2293" s="1273"/>
      <c r="I2293" s="1273"/>
      <c r="J2293" s="1273"/>
      <c r="K2293" s="204">
        <v>1.07</v>
      </c>
      <c r="L2293" s="186"/>
      <c r="M2293" s="50"/>
      <c r="N2293" s="96"/>
      <c r="O2293" s="5"/>
      <c r="P2293" s="9"/>
      <c r="Q2293" s="34"/>
      <c r="R2293" s="5"/>
      <c r="S2293" s="35"/>
    </row>
    <row r="2294" spans="1:23" ht="30" customHeight="1" x14ac:dyDescent="0.35">
      <c r="A2294" s="186"/>
      <c r="B2294" s="567"/>
      <c r="C2294" s="567"/>
      <c r="D2294" s="567"/>
      <c r="E2294" s="567"/>
      <c r="F2294" s="1216"/>
      <c r="G2294" s="1268" t="s">
        <v>2875</v>
      </c>
      <c r="H2294" s="1268"/>
      <c r="I2294" s="1268"/>
      <c r="J2294" s="1268"/>
      <c r="K2294" s="196">
        <v>1.07</v>
      </c>
      <c r="L2294" s="186"/>
      <c r="M2294" s="96"/>
      <c r="N2294" s="96"/>
      <c r="O2294" s="5"/>
      <c r="P2294" s="9"/>
      <c r="Q2294" s="34"/>
      <c r="R2294" s="5"/>
      <c r="S2294" s="35"/>
    </row>
    <row r="2295" spans="1:23" ht="30" customHeight="1" x14ac:dyDescent="0.35">
      <c r="A2295" s="920"/>
      <c r="B2295" s="931"/>
      <c r="C2295" s="931"/>
      <c r="D2295" s="931"/>
      <c r="E2295" s="931"/>
      <c r="F2295" s="931"/>
      <c r="G2295" s="931"/>
      <c r="H2295" s="503"/>
      <c r="I2295" s="503"/>
      <c r="J2295" s="186" t="s">
        <v>37</v>
      </c>
      <c r="K2295" s="215">
        <f>+K2292*K2293/K2294</f>
        <v>169.6464997305242</v>
      </c>
      <c r="L2295" s="186" t="s">
        <v>108</v>
      </c>
      <c r="M2295" s="50"/>
      <c r="N2295" s="96"/>
      <c r="O2295" s="5"/>
      <c r="P2295" s="9"/>
      <c r="Q2295" s="34"/>
      <c r="R2295" s="5"/>
      <c r="S2295" s="35"/>
      <c r="U2295" s="11"/>
    </row>
    <row r="2296" spans="1:23" ht="30" customHeight="1" x14ac:dyDescent="0.35">
      <c r="A2296" s="920"/>
      <c r="B2296" s="933"/>
      <c r="C2296" s="933"/>
      <c r="D2296" s="933"/>
      <c r="E2296" s="933"/>
      <c r="G2296" s="1194" t="s">
        <v>257</v>
      </c>
      <c r="H2296" s="1195"/>
      <c r="I2296" s="1196"/>
      <c r="J2296" s="560">
        <f>VLOOKUP(B2279,'Mil Cost Premiums for PUCs'!$A$4:$R$285,18,FALSE)</f>
        <v>1.3319480854780448</v>
      </c>
      <c r="K2296" s="215">
        <f>+K2295*J2296</f>
        <v>225.96033052412335</v>
      </c>
      <c r="L2296" s="186" t="s">
        <v>108</v>
      </c>
      <c r="M2296" s="50"/>
      <c r="N2296" s="96"/>
      <c r="O2296" s="5"/>
      <c r="P2296" s="9"/>
      <c r="Q2296" s="34"/>
      <c r="R2296" s="5"/>
      <c r="S2296" s="35"/>
    </row>
    <row r="2297" spans="1:23" ht="30" customHeight="1" x14ac:dyDescent="0.35">
      <c r="A2297" s="1274" t="s">
        <v>198</v>
      </c>
      <c r="B2297" s="1275"/>
      <c r="C2297" s="1275"/>
      <c r="D2297" s="1275"/>
      <c r="E2297" s="1275"/>
      <c r="F2297" s="1275"/>
      <c r="G2297" s="1275"/>
      <c r="H2297" s="1275"/>
      <c r="I2297" s="1275"/>
      <c r="J2297" s="1275"/>
      <c r="K2297" s="1275"/>
      <c r="L2297" s="1276"/>
      <c r="N2297" s="945"/>
      <c r="O2297" s="572"/>
      <c r="P2297" s="384"/>
      <c r="Q2297" s="396"/>
      <c r="R2297" s="396"/>
      <c r="S2297" s="396"/>
      <c r="T2297" s="396"/>
      <c r="U2297" s="396"/>
    </row>
    <row r="2298" spans="1:23" ht="30" customHeight="1" x14ac:dyDescent="0.35">
      <c r="A2298" s="1389" t="s">
        <v>199</v>
      </c>
      <c r="B2298" s="1390"/>
      <c r="C2298" s="1391"/>
      <c r="D2298" s="1274" t="s">
        <v>1071</v>
      </c>
      <c r="E2298" s="1275"/>
      <c r="F2298" s="1275"/>
      <c r="G2298" s="1275"/>
      <c r="H2298" s="1275"/>
      <c r="I2298" s="1275"/>
      <c r="J2298" s="1275"/>
      <c r="K2298" s="1275"/>
      <c r="L2298" s="1276"/>
      <c r="M2298" s="50"/>
      <c r="N2298" s="946"/>
    </row>
    <row r="2299" spans="1:23" ht="30" customHeight="1" x14ac:dyDescent="0.35">
      <c r="A2299" s="1389" t="s">
        <v>200</v>
      </c>
      <c r="B2299" s="1390"/>
      <c r="C2299" s="1391"/>
      <c r="D2299" s="1274" t="s">
        <v>1072</v>
      </c>
      <c r="E2299" s="1275"/>
      <c r="F2299" s="1275"/>
      <c r="G2299" s="1275"/>
      <c r="H2299" s="1275"/>
      <c r="I2299" s="1275"/>
      <c r="J2299" s="1275"/>
      <c r="K2299" s="1275"/>
      <c r="L2299" s="1276"/>
      <c r="M2299" s="50"/>
      <c r="N2299" s="50"/>
      <c r="V2299" s="396"/>
      <c r="W2299" s="396"/>
    </row>
    <row r="2300" spans="1:23" ht="30" customHeight="1" x14ac:dyDescent="0.35">
      <c r="A2300" s="1389" t="s">
        <v>201</v>
      </c>
      <c r="B2300" s="1390"/>
      <c r="C2300" s="1391"/>
      <c r="D2300" s="1274" t="s">
        <v>1073</v>
      </c>
      <c r="E2300" s="1275"/>
      <c r="F2300" s="1275"/>
      <c r="G2300" s="1275"/>
      <c r="H2300" s="1275"/>
      <c r="I2300" s="1275"/>
      <c r="J2300" s="1275"/>
      <c r="K2300" s="1275"/>
      <c r="L2300" s="1276"/>
      <c r="M2300" s="50"/>
      <c r="N2300" s="100"/>
    </row>
    <row r="2301" spans="1:23" ht="30" customHeight="1" x14ac:dyDescent="0.35">
      <c r="A2301" s="1389" t="s">
        <v>202</v>
      </c>
      <c r="B2301" s="1390"/>
      <c r="C2301" s="1391"/>
      <c r="D2301" s="1274" t="s">
        <v>1074</v>
      </c>
      <c r="E2301" s="1275"/>
      <c r="F2301" s="1275"/>
      <c r="G2301" s="1275"/>
      <c r="H2301" s="1275"/>
      <c r="I2301" s="1275"/>
      <c r="J2301" s="1275"/>
      <c r="K2301" s="1275"/>
      <c r="L2301" s="1276"/>
      <c r="M2301" s="50"/>
      <c r="N2301" s="51"/>
      <c r="V2301" s="396"/>
      <c r="W2301" s="396"/>
    </row>
    <row r="2302" spans="1:23" ht="30" customHeight="1" x14ac:dyDescent="0.35">
      <c r="A2302" s="1389" t="s">
        <v>203</v>
      </c>
      <c r="B2302" s="1390"/>
      <c r="C2302" s="1391"/>
      <c r="D2302" s="1274" t="s">
        <v>2445</v>
      </c>
      <c r="E2302" s="1275"/>
      <c r="F2302" s="1275"/>
      <c r="G2302" s="1275"/>
      <c r="H2302" s="1275"/>
      <c r="I2302" s="1275"/>
      <c r="J2302" s="1275"/>
      <c r="K2302" s="1275"/>
      <c r="L2302" s="1276"/>
      <c r="M2302" s="96"/>
      <c r="N2302" s="96"/>
      <c r="T2302" s="10"/>
      <c r="U2302" s="10"/>
    </row>
    <row r="2303" spans="1:23" ht="30" customHeight="1" x14ac:dyDescent="0.35">
      <c r="A2303" s="1389" t="s">
        <v>205</v>
      </c>
      <c r="B2303" s="1390"/>
      <c r="C2303" s="1391"/>
      <c r="D2303" s="1274" t="s">
        <v>1065</v>
      </c>
      <c r="E2303" s="1275"/>
      <c r="F2303" s="1275"/>
      <c r="G2303" s="1275"/>
      <c r="H2303" s="1275"/>
      <c r="I2303" s="1275"/>
      <c r="J2303" s="1275"/>
      <c r="K2303" s="1275"/>
      <c r="L2303" s="1276"/>
      <c r="M2303" s="50"/>
      <c r="N2303" s="96"/>
      <c r="T2303" s="10"/>
      <c r="U2303" s="10"/>
    </row>
    <row r="2304" spans="1:23" ht="30" customHeight="1" x14ac:dyDescent="0.35">
      <c r="A2304" s="1389" t="s">
        <v>207</v>
      </c>
      <c r="B2304" s="1390"/>
      <c r="C2304" s="1391"/>
      <c r="D2304" s="1274" t="s">
        <v>781</v>
      </c>
      <c r="E2304" s="1275"/>
      <c r="F2304" s="1275"/>
      <c r="G2304" s="1275"/>
      <c r="H2304" s="1275"/>
      <c r="I2304" s="1275"/>
      <c r="J2304" s="1275"/>
      <c r="K2304" s="1275"/>
      <c r="L2304" s="1276"/>
      <c r="M2304" s="50"/>
      <c r="N2304" s="96"/>
      <c r="O2304" s="5"/>
      <c r="P2304" s="9"/>
      <c r="Q2304" s="34"/>
      <c r="R2304" s="5"/>
      <c r="S2304" s="35"/>
    </row>
    <row r="2305" spans="1:20" ht="30" customHeight="1" x14ac:dyDescent="0.35">
      <c r="A2305" s="1389" t="s">
        <v>208</v>
      </c>
      <c r="B2305" s="1390"/>
      <c r="C2305" s="1391"/>
      <c r="D2305" s="1274" t="s">
        <v>265</v>
      </c>
      <c r="E2305" s="1275"/>
      <c r="F2305" s="1275"/>
      <c r="G2305" s="1275"/>
      <c r="H2305" s="1275"/>
      <c r="I2305" s="1275"/>
      <c r="J2305" s="1275"/>
      <c r="K2305" s="1275"/>
      <c r="L2305" s="1276"/>
      <c r="M2305" s="96"/>
      <c r="N2305" s="96"/>
      <c r="O2305" s="5"/>
      <c r="P2305" s="9"/>
      <c r="Q2305" s="34"/>
      <c r="R2305" s="5"/>
      <c r="S2305" s="35"/>
    </row>
    <row r="2306" spans="1:20" ht="30" customHeight="1" thickBot="1" x14ac:dyDescent="0.4">
      <c r="A2306" s="1389" t="s">
        <v>224</v>
      </c>
      <c r="B2306" s="1390"/>
      <c r="C2306" s="1391"/>
      <c r="D2306" s="1553" t="s">
        <v>2446</v>
      </c>
      <c r="E2306" s="1554"/>
      <c r="F2306" s="1554"/>
      <c r="G2306" s="1554"/>
      <c r="H2306" s="1554"/>
      <c r="I2306" s="1554"/>
      <c r="J2306" s="1554"/>
      <c r="K2306" s="1554"/>
      <c r="L2306" s="1555"/>
      <c r="M2306" s="50"/>
      <c r="N2306" s="96"/>
      <c r="O2306" s="5"/>
      <c r="P2306" s="9"/>
      <c r="Q2306" s="34"/>
      <c r="R2306" s="5"/>
      <c r="S2306" s="35"/>
    </row>
    <row r="2307" spans="1:20" ht="30" customHeight="1" thickBot="1" x14ac:dyDescent="0.4">
      <c r="A2307" s="1199"/>
      <c r="B2307" s="1200"/>
      <c r="C2307" s="1200"/>
      <c r="D2307" s="1200"/>
      <c r="E2307" s="1200"/>
      <c r="F2307" s="1200"/>
      <c r="G2307" s="1200"/>
      <c r="H2307" s="1200"/>
      <c r="I2307" s="1200"/>
      <c r="J2307" s="1200"/>
      <c r="K2307" s="1200"/>
      <c r="L2307" s="1201"/>
      <c r="M2307" s="111"/>
      <c r="N2307" s="96"/>
      <c r="O2307" s="5"/>
      <c r="P2307" s="9"/>
      <c r="Q2307" s="34"/>
      <c r="R2307" s="5"/>
      <c r="S2307" s="35"/>
    </row>
    <row r="2308" spans="1:20" ht="30" customHeight="1" x14ac:dyDescent="0.35">
      <c r="A2308" s="388" t="s">
        <v>1</v>
      </c>
      <c r="B2308" s="389">
        <v>3211</v>
      </c>
      <c r="C2308" s="1290" t="s">
        <v>1075</v>
      </c>
      <c r="D2308" s="1291"/>
      <c r="E2308" s="392" t="s">
        <v>3</v>
      </c>
      <c r="F2308" s="393" t="s">
        <v>108</v>
      </c>
      <c r="G2308" s="390" t="s">
        <v>38</v>
      </c>
      <c r="H2308" s="135">
        <v>14691</v>
      </c>
      <c r="I2308" s="392" t="s">
        <v>5</v>
      </c>
      <c r="J2308" s="1207" t="s">
        <v>1076</v>
      </c>
      <c r="K2308" s="1207"/>
      <c r="L2308" s="1208"/>
      <c r="M2308" s="97"/>
      <c r="N2308" s="96"/>
      <c r="O2308" s="5"/>
      <c r="P2308" s="9"/>
      <c r="Q2308" s="34"/>
      <c r="R2308" s="5"/>
      <c r="S2308" s="35"/>
    </row>
    <row r="2309" spans="1:20" ht="30" customHeight="1" x14ac:dyDescent="0.35">
      <c r="A2309" s="185"/>
      <c r="B2309" s="1272" t="s">
        <v>7</v>
      </c>
      <c r="C2309" s="1272"/>
      <c r="D2309" s="1272"/>
      <c r="E2309" s="185" t="s">
        <v>52</v>
      </c>
      <c r="F2309" s="185" t="s">
        <v>53</v>
      </c>
      <c r="G2309" s="1219" t="s">
        <v>54</v>
      </c>
      <c r="H2309" s="1220"/>
      <c r="I2309" s="185" t="s">
        <v>55</v>
      </c>
      <c r="J2309" s="185" t="s">
        <v>56</v>
      </c>
      <c r="K2309" s="1209" t="s">
        <v>37</v>
      </c>
      <c r="L2309" s="1210"/>
      <c r="M2309" s="111"/>
      <c r="N2309" s="96"/>
      <c r="O2309" s="384"/>
      <c r="P2309" s="9"/>
      <c r="Q2309" s="34"/>
      <c r="R2309" s="5"/>
      <c r="S2309" s="35"/>
    </row>
    <row r="2310" spans="1:20" ht="30" customHeight="1" thickBot="1" x14ac:dyDescent="0.4">
      <c r="A2310" s="407"/>
      <c r="B2310" s="1500" t="s">
        <v>1077</v>
      </c>
      <c r="C2310" s="1500"/>
      <c r="D2310" s="1500"/>
      <c r="E2310" s="713">
        <f>+M2073</f>
        <v>0</v>
      </c>
      <c r="F2310" s="188"/>
      <c r="G2310" s="1332"/>
      <c r="H2310" s="1333"/>
      <c r="I2310" s="188"/>
      <c r="J2310" s="470" t="s">
        <v>491</v>
      </c>
      <c r="K2310" s="471">
        <f>E2310</f>
        <v>0</v>
      </c>
      <c r="L2310" s="188" t="s">
        <v>108</v>
      </c>
      <c r="M2310" s="50"/>
      <c r="N2310" s="96"/>
      <c r="O2310" s="384"/>
      <c r="P2310" s="9"/>
      <c r="Q2310" s="34"/>
      <c r="R2310" s="5"/>
      <c r="S2310" s="35"/>
    </row>
    <row r="2311" spans="1:20" ht="30" customHeight="1" thickBot="1" x14ac:dyDescent="0.4">
      <c r="A2311" s="1199"/>
      <c r="B2311" s="1200"/>
      <c r="C2311" s="1200"/>
      <c r="D2311" s="1200"/>
      <c r="E2311" s="1200"/>
      <c r="F2311" s="1200"/>
      <c r="G2311" s="1200"/>
      <c r="H2311" s="1200"/>
      <c r="I2311" s="1200"/>
      <c r="J2311" s="1200"/>
      <c r="K2311" s="1200"/>
      <c r="L2311" s="1201"/>
      <c r="M2311" s="97"/>
      <c r="N2311" s="96"/>
      <c r="T2311" s="10"/>
    </row>
    <row r="2312" spans="1:20" ht="30" customHeight="1" x14ac:dyDescent="0.35">
      <c r="A2312" s="388" t="s">
        <v>1</v>
      </c>
      <c r="B2312" s="389">
        <v>3711</v>
      </c>
      <c r="C2312" s="1290" t="s">
        <v>1078</v>
      </c>
      <c r="D2312" s="1291"/>
      <c r="E2312" s="392" t="s">
        <v>3</v>
      </c>
      <c r="F2312" s="393" t="s">
        <v>108</v>
      </c>
      <c r="G2312" s="390" t="s">
        <v>38</v>
      </c>
      <c r="H2312" s="135">
        <v>3167.080125</v>
      </c>
      <c r="I2312" s="392" t="s">
        <v>5</v>
      </c>
      <c r="J2312" s="1207" t="s">
        <v>2873</v>
      </c>
      <c r="K2312" s="1207"/>
      <c r="L2312" s="1208"/>
      <c r="M2312" s="96"/>
      <c r="N2312" s="50"/>
      <c r="O2312" s="5"/>
      <c r="P2312" s="9"/>
      <c r="Q2312" s="34"/>
      <c r="R2312" s="5"/>
      <c r="S2312" s="35"/>
    </row>
    <row r="2313" spans="1:20" ht="30" customHeight="1" x14ac:dyDescent="0.35">
      <c r="A2313" s="185" t="s">
        <v>177</v>
      </c>
      <c r="B2313" s="1272" t="s">
        <v>7</v>
      </c>
      <c r="C2313" s="1272"/>
      <c r="D2313" s="1272"/>
      <c r="E2313" s="397" t="s">
        <v>52</v>
      </c>
      <c r="F2313" s="185" t="s">
        <v>178</v>
      </c>
      <c r="G2313" s="1292"/>
      <c r="H2313" s="1293"/>
      <c r="I2313" s="1221" t="s">
        <v>179</v>
      </c>
      <c r="J2313" s="1222"/>
      <c r="K2313" s="1209" t="s">
        <v>180</v>
      </c>
      <c r="L2313" s="1210"/>
      <c r="M2313" s="96"/>
      <c r="N2313" s="50"/>
      <c r="O2313" s="5"/>
      <c r="P2313" s="9"/>
      <c r="Q2313" s="34"/>
      <c r="R2313" s="5"/>
      <c r="S2313" s="35"/>
    </row>
    <row r="2314" spans="1:20" ht="30" customHeight="1" x14ac:dyDescent="0.35">
      <c r="A2314" s="186">
        <v>17123</v>
      </c>
      <c r="B2314" s="1212" t="s">
        <v>1079</v>
      </c>
      <c r="C2314" s="1213"/>
      <c r="D2314" s="1214"/>
      <c r="E2314" s="214">
        <v>491</v>
      </c>
      <c r="F2314" s="343">
        <v>800</v>
      </c>
      <c r="G2314" s="271" t="s">
        <v>108</v>
      </c>
      <c r="H2314" s="664"/>
      <c r="I2314" s="1332">
        <f>+'FY2024 MILCON Inflation Table'!F23</f>
        <v>0.93863689284411045</v>
      </c>
      <c r="J2314" s="1333"/>
      <c r="K2314" s="212">
        <f>+I2314*E2314</f>
        <v>460.87071438645825</v>
      </c>
      <c r="L2314" s="401" t="s">
        <v>108</v>
      </c>
      <c r="M2314" s="50"/>
      <c r="N2314" s="50"/>
      <c r="O2314" s="5"/>
      <c r="P2314" s="9"/>
      <c r="Q2314" s="34"/>
      <c r="R2314" s="5"/>
      <c r="S2314" s="35"/>
    </row>
    <row r="2315" spans="1:20" ht="30" customHeight="1" x14ac:dyDescent="0.35">
      <c r="A2315" s="186">
        <v>17213</v>
      </c>
      <c r="B2315" s="1212" t="s">
        <v>1080</v>
      </c>
      <c r="C2315" s="1213"/>
      <c r="D2315" s="1214"/>
      <c r="E2315" s="214">
        <v>825</v>
      </c>
      <c r="F2315" s="343">
        <v>41000</v>
      </c>
      <c r="G2315" s="271" t="s">
        <v>108</v>
      </c>
      <c r="H2315" s="664"/>
      <c r="I2315" s="1332">
        <f>+'FY2024 MILCON Inflation Table'!F23</f>
        <v>0.93863689284411045</v>
      </c>
      <c r="J2315" s="1333"/>
      <c r="K2315" s="212">
        <f>+I2315*E2315</f>
        <v>774.37543659639107</v>
      </c>
      <c r="L2315" s="401" t="s">
        <v>108</v>
      </c>
      <c r="M2315" s="50"/>
      <c r="N2315" s="50"/>
      <c r="O2315" s="5"/>
      <c r="P2315" s="9"/>
      <c r="Q2315" s="34"/>
      <c r="R2315" s="5"/>
      <c r="S2315" s="35"/>
    </row>
    <row r="2316" spans="1:20" ht="30" customHeight="1" x14ac:dyDescent="0.35">
      <c r="A2316" s="271"/>
      <c r="B2316" s="744"/>
      <c r="C2316" s="745"/>
      <c r="D2316" s="746"/>
      <c r="E2316" s="298"/>
      <c r="F2316" s="299"/>
      <c r="G2316" s="663"/>
      <c r="H2316" s="664"/>
      <c r="I2316" s="934"/>
      <c r="J2316" s="935" t="s">
        <v>192</v>
      </c>
      <c r="K2316" s="300">
        <f>AVERAGE(K2314:K2315)</f>
        <v>617.62307549142463</v>
      </c>
      <c r="L2316" s="409" t="s">
        <v>108</v>
      </c>
      <c r="M2316" s="50"/>
      <c r="N2316" s="96"/>
      <c r="O2316" s="5"/>
      <c r="P2316" s="9"/>
      <c r="Q2316" s="34"/>
      <c r="R2316" s="5"/>
      <c r="S2316" s="35"/>
    </row>
    <row r="2317" spans="1:20" ht="30" customHeight="1" thickBot="1" x14ac:dyDescent="0.4">
      <c r="A2317" s="567"/>
      <c r="B2317" s="1202"/>
      <c r="C2317" s="1203"/>
      <c r="D2317" s="1204"/>
      <c r="E2317" s="499"/>
      <c r="F2317" s="936"/>
      <c r="G2317" s="499"/>
      <c r="H2317" s="500"/>
      <c r="I2317" s="567"/>
      <c r="J2317" s="494" t="s">
        <v>37</v>
      </c>
      <c r="K2317" s="212">
        <f>+K2316</f>
        <v>617.62307549142463</v>
      </c>
      <c r="L2317" s="401" t="s">
        <v>108</v>
      </c>
      <c r="M2317" s="50"/>
      <c r="N2317" s="96"/>
      <c r="O2317" s="5"/>
      <c r="P2317" s="9"/>
      <c r="Q2317" s="34"/>
      <c r="R2317" s="5"/>
      <c r="S2317" s="35"/>
    </row>
    <row r="2318" spans="1:20" ht="30" customHeight="1" thickBot="1" x14ac:dyDescent="0.4">
      <c r="A2318" s="1199"/>
      <c r="B2318" s="1200"/>
      <c r="C2318" s="1200"/>
      <c r="D2318" s="1200"/>
      <c r="E2318" s="1200"/>
      <c r="F2318" s="1200"/>
      <c r="G2318" s="1200"/>
      <c r="H2318" s="1200"/>
      <c r="I2318" s="1200"/>
      <c r="J2318" s="1200"/>
      <c r="K2318" s="1200"/>
      <c r="L2318" s="1201"/>
      <c r="M2318" s="50"/>
      <c r="N2318" s="96"/>
      <c r="O2318" s="5"/>
      <c r="P2318" s="9"/>
      <c r="Q2318" s="34"/>
      <c r="R2318" s="5"/>
      <c r="S2318" s="35"/>
    </row>
    <row r="2319" spans="1:20" ht="30" customHeight="1" x14ac:dyDescent="0.35">
      <c r="A2319" s="388" t="s">
        <v>1</v>
      </c>
      <c r="B2319" s="389">
        <v>3712</v>
      </c>
      <c r="C2319" s="1290" t="s">
        <v>1081</v>
      </c>
      <c r="D2319" s="1291"/>
      <c r="E2319" s="392" t="s">
        <v>3</v>
      </c>
      <c r="F2319" s="393" t="s">
        <v>40</v>
      </c>
      <c r="G2319" s="529" t="s">
        <v>2</v>
      </c>
      <c r="H2319" s="135">
        <v>1</v>
      </c>
      <c r="I2319" s="392" t="s">
        <v>5</v>
      </c>
      <c r="J2319" s="1207" t="s">
        <v>2571</v>
      </c>
      <c r="K2319" s="1207"/>
      <c r="L2319" s="1208"/>
      <c r="M2319" s="96"/>
      <c r="N2319" s="96"/>
      <c r="O2319" s="5"/>
      <c r="P2319" s="9"/>
      <c r="Q2319" s="34"/>
      <c r="R2319" s="5"/>
      <c r="S2319" s="35"/>
    </row>
    <row r="2320" spans="1:20" ht="30" customHeight="1" x14ac:dyDescent="0.35">
      <c r="A2320" s="185" t="s">
        <v>177</v>
      </c>
      <c r="B2320" s="1272" t="s">
        <v>7</v>
      </c>
      <c r="C2320" s="1272"/>
      <c r="D2320" s="1272"/>
      <c r="E2320" s="397" t="s">
        <v>52</v>
      </c>
      <c r="F2320" s="185" t="s">
        <v>178</v>
      </c>
      <c r="G2320" s="1292" t="s">
        <v>9</v>
      </c>
      <c r="H2320" s="1293"/>
      <c r="I2320" s="1221" t="s">
        <v>179</v>
      </c>
      <c r="J2320" s="1222"/>
      <c r="K2320" s="1209" t="s">
        <v>180</v>
      </c>
      <c r="L2320" s="1210"/>
      <c r="M2320" s="97"/>
      <c r="N2320" s="96"/>
      <c r="O2320" s="384"/>
      <c r="P2320" s="9"/>
      <c r="Q2320" s="34"/>
      <c r="R2320" s="5"/>
      <c r="S2320" s="35"/>
    </row>
    <row r="2321" spans="1:19" ht="30" customHeight="1" x14ac:dyDescent="0.35">
      <c r="A2321" s="186">
        <v>62010</v>
      </c>
      <c r="B2321" s="1265" t="s">
        <v>1082</v>
      </c>
      <c r="C2321" s="1265"/>
      <c r="D2321" s="1265"/>
      <c r="E2321" s="214">
        <v>235</v>
      </c>
      <c r="F2321" s="121">
        <v>230</v>
      </c>
      <c r="G2321" s="186" t="s">
        <v>108</v>
      </c>
      <c r="H2321" s="937"/>
      <c r="I2321" s="1307">
        <f>+'FY2024 MILCON Inflation Table'!F8</f>
        <v>1.7467053391350638</v>
      </c>
      <c r="J2321" s="1308"/>
      <c r="K2321" s="212">
        <f>+E2321*F2321*I2321</f>
        <v>94409.423580250193</v>
      </c>
      <c r="L2321" s="401" t="s">
        <v>40</v>
      </c>
      <c r="M2321" s="50"/>
      <c r="N2321" s="96"/>
      <c r="O2321" s="384"/>
      <c r="P2321" s="9"/>
      <c r="Q2321" s="34"/>
      <c r="R2321" s="5"/>
      <c r="S2321" s="35"/>
    </row>
    <row r="2322" spans="1:19" ht="30" customHeight="1" x14ac:dyDescent="0.35">
      <c r="A2322" s="186">
        <v>17971</v>
      </c>
      <c r="B2322" s="1212" t="s">
        <v>2559</v>
      </c>
      <c r="C2322" s="1213"/>
      <c r="D2322" s="1214"/>
      <c r="E2322" s="217">
        <v>882949</v>
      </c>
      <c r="F2322" s="218">
        <v>1</v>
      </c>
      <c r="G2322" s="401" t="s">
        <v>40</v>
      </c>
      <c r="H2322" s="401"/>
      <c r="I2322" s="1332">
        <f>+'FY2024 MILCON Inflation Table'!F22</f>
        <v>0.95834826759383673</v>
      </c>
      <c r="J2322" s="1333"/>
      <c r="K2322" s="212">
        <f>+E2322*I2322</f>
        <v>846172.64452371059</v>
      </c>
      <c r="L2322" s="401" t="s">
        <v>40</v>
      </c>
      <c r="M2322" s="50"/>
      <c r="N2322" s="96"/>
      <c r="O2322" s="384"/>
      <c r="P2322" s="9"/>
      <c r="Q2322" s="34"/>
      <c r="R2322" s="5"/>
      <c r="S2322" s="35"/>
    </row>
    <row r="2323" spans="1:19" ht="30" customHeight="1" x14ac:dyDescent="0.35">
      <c r="A2323" s="186" t="s">
        <v>1083</v>
      </c>
      <c r="B2323" s="1212" t="s">
        <v>2561</v>
      </c>
      <c r="C2323" s="1213"/>
      <c r="D2323" s="1214"/>
      <c r="E2323" s="214">
        <f>K329</f>
        <v>42315.171388264513</v>
      </c>
      <c r="F2323" s="203">
        <v>1</v>
      </c>
      <c r="G2323" s="186" t="s">
        <v>40</v>
      </c>
      <c r="H2323" s="401"/>
      <c r="I2323" s="1332">
        <f>+'FY2024 MILCON Inflation Table'!F19</f>
        <v>1.0438745311870332</v>
      </c>
      <c r="J2323" s="1333"/>
      <c r="K2323" s="212">
        <f>+E2323*I2323</f>
        <v>44171.729695023583</v>
      </c>
      <c r="L2323" s="401" t="s">
        <v>40</v>
      </c>
      <c r="M2323" s="50"/>
      <c r="N2323" s="96"/>
      <c r="O2323" s="384"/>
      <c r="P2323" s="9"/>
      <c r="Q2323" s="34"/>
      <c r="R2323" s="5"/>
      <c r="S2323" s="35"/>
    </row>
    <row r="2324" spans="1:19" ht="30" customHeight="1" x14ac:dyDescent="0.35">
      <c r="A2324" s="186"/>
      <c r="B2324" s="1467"/>
      <c r="C2324" s="1468"/>
      <c r="D2324" s="1469"/>
      <c r="E2324" s="129"/>
      <c r="F2324" s="143"/>
      <c r="G2324" s="716"/>
      <c r="H2324" s="525"/>
      <c r="I2324" s="938"/>
      <c r="J2324" s="752" t="s">
        <v>223</v>
      </c>
      <c r="K2324" s="212">
        <f>SUM(K2321:K2323)</f>
        <v>984753.79779898445</v>
      </c>
      <c r="L2324" s="401" t="s">
        <v>40</v>
      </c>
      <c r="M2324" s="96"/>
      <c r="N2324" s="50"/>
      <c r="O2324" s="384"/>
      <c r="P2324" s="9"/>
      <c r="Q2324" s="34"/>
      <c r="R2324" s="5"/>
      <c r="S2324" s="35"/>
    </row>
    <row r="2325" spans="1:19" ht="30" customHeight="1" thickBot="1" x14ac:dyDescent="0.4">
      <c r="A2325" s="186"/>
      <c r="B2325" s="1202"/>
      <c r="C2325" s="1203"/>
      <c r="D2325" s="1204"/>
      <c r="E2325" s="520"/>
      <c r="F2325" s="784"/>
      <c r="G2325" s="520"/>
      <c r="H2325" s="750"/>
      <c r="I2325" s="736"/>
      <c r="J2325" s="494" t="s">
        <v>37</v>
      </c>
      <c r="K2325" s="212">
        <f>+K2324</f>
        <v>984753.79779898445</v>
      </c>
      <c r="L2325" s="401" t="s">
        <v>40</v>
      </c>
      <c r="M2325" s="50"/>
      <c r="N2325" s="50"/>
      <c r="O2325" s="384"/>
      <c r="P2325" s="9"/>
      <c r="Q2325" s="34"/>
      <c r="R2325" s="5"/>
      <c r="S2325" s="35"/>
    </row>
    <row r="2326" spans="1:19" ht="30" customHeight="1" thickBot="1" x14ac:dyDescent="0.4">
      <c r="A2326" s="1199"/>
      <c r="B2326" s="1200"/>
      <c r="C2326" s="1200"/>
      <c r="D2326" s="1200"/>
      <c r="E2326" s="1200"/>
      <c r="F2326" s="1200"/>
      <c r="G2326" s="1200"/>
      <c r="H2326" s="1200"/>
      <c r="I2326" s="1200"/>
      <c r="J2326" s="1200"/>
      <c r="K2326" s="1200"/>
      <c r="L2326" s="1201"/>
      <c r="M2326" s="50"/>
      <c r="N2326" s="50"/>
      <c r="O2326" s="384"/>
      <c r="P2326" s="9"/>
      <c r="Q2326" s="34"/>
      <c r="R2326" s="5"/>
      <c r="S2326" s="35"/>
    </row>
    <row r="2327" spans="1:19" ht="30" customHeight="1" x14ac:dyDescent="0.35">
      <c r="A2327" s="388" t="s">
        <v>1</v>
      </c>
      <c r="B2327" s="389">
        <v>3713</v>
      </c>
      <c r="C2327" s="1290" t="s">
        <v>1084</v>
      </c>
      <c r="D2327" s="1291"/>
      <c r="E2327" s="392" t="s">
        <v>3</v>
      </c>
      <c r="F2327" s="393" t="s">
        <v>40</v>
      </c>
      <c r="G2327" s="529" t="s">
        <v>2</v>
      </c>
      <c r="H2327" s="135">
        <v>1</v>
      </c>
      <c r="I2327" s="392" t="s">
        <v>5</v>
      </c>
      <c r="J2327" s="1207" t="s">
        <v>2571</v>
      </c>
      <c r="K2327" s="1207"/>
      <c r="L2327" s="1208"/>
      <c r="M2327" s="96"/>
      <c r="N2327" s="50"/>
      <c r="O2327" s="946"/>
      <c r="P2327" s="946"/>
      <c r="Q2327" s="946"/>
      <c r="R2327" s="5"/>
      <c r="S2327" s="35"/>
    </row>
    <row r="2328" spans="1:19" ht="30" customHeight="1" x14ac:dyDescent="0.35">
      <c r="A2328" s="185" t="s">
        <v>177</v>
      </c>
      <c r="B2328" s="1272" t="s">
        <v>7</v>
      </c>
      <c r="C2328" s="1272"/>
      <c r="D2328" s="1272"/>
      <c r="E2328" s="397" t="s">
        <v>52</v>
      </c>
      <c r="F2328" s="185" t="s">
        <v>178</v>
      </c>
      <c r="G2328" s="1292" t="s">
        <v>9</v>
      </c>
      <c r="H2328" s="1293"/>
      <c r="I2328" s="1221" t="s">
        <v>179</v>
      </c>
      <c r="J2328" s="1222"/>
      <c r="K2328" s="1209" t="s">
        <v>180</v>
      </c>
      <c r="L2328" s="1210"/>
      <c r="M2328" s="96"/>
      <c r="N2328" s="50"/>
      <c r="O2328" s="946"/>
      <c r="P2328" s="946"/>
      <c r="Q2328" s="946"/>
      <c r="R2328" s="5"/>
      <c r="S2328" s="35"/>
    </row>
    <row r="2329" spans="1:19" ht="30" customHeight="1" x14ac:dyDescent="0.35">
      <c r="A2329" s="186">
        <v>17123</v>
      </c>
      <c r="B2329" s="1212" t="s">
        <v>1085</v>
      </c>
      <c r="C2329" s="1213"/>
      <c r="D2329" s="1214"/>
      <c r="E2329" s="217">
        <v>207</v>
      </c>
      <c r="F2329" s="218">
        <v>2576</v>
      </c>
      <c r="G2329" s="401" t="s">
        <v>108</v>
      </c>
      <c r="H2329" s="401"/>
      <c r="I2329" s="1307">
        <f>+'FY2024 MILCON Inflation Table'!F10</f>
        <v>1.6540685803452817</v>
      </c>
      <c r="J2329" s="1308"/>
      <c r="K2329" s="212">
        <f>+E2329*F2329*I2329</f>
        <v>882002.29723467526</v>
      </c>
      <c r="L2329" s="401" t="s">
        <v>40</v>
      </c>
      <c r="M2329" s="50"/>
      <c r="N2329" s="50"/>
      <c r="O2329" s="384"/>
      <c r="P2329" s="9"/>
      <c r="Q2329" s="34"/>
      <c r="R2329" s="5"/>
      <c r="S2329" s="35"/>
    </row>
    <row r="2330" spans="1:19" ht="30" customHeight="1" x14ac:dyDescent="0.35">
      <c r="A2330" s="186">
        <v>62010</v>
      </c>
      <c r="B2330" s="1265" t="s">
        <v>1086</v>
      </c>
      <c r="C2330" s="1265"/>
      <c r="D2330" s="1265"/>
      <c r="E2330" s="217">
        <v>235</v>
      </c>
      <c r="F2330" s="12">
        <v>230</v>
      </c>
      <c r="G2330" s="401" t="s">
        <v>108</v>
      </c>
      <c r="H2330" s="937"/>
      <c r="I2330" s="1307">
        <f>+'FY2024 MILCON Inflation Table'!F8</f>
        <v>1.7467053391350638</v>
      </c>
      <c r="J2330" s="1308"/>
      <c r="K2330" s="212">
        <f>+E2330*F2330*I2330</f>
        <v>94409.423580250193</v>
      </c>
      <c r="L2330" s="401" t="s">
        <v>40</v>
      </c>
      <c r="M2330" s="50"/>
      <c r="N2330" s="50"/>
      <c r="P2330" s="9"/>
      <c r="Q2330" s="34"/>
      <c r="R2330" s="5"/>
      <c r="S2330" s="35"/>
    </row>
    <row r="2331" spans="1:19" ht="30" customHeight="1" x14ac:dyDescent="0.35">
      <c r="A2331" s="186">
        <v>17971</v>
      </c>
      <c r="B2331" s="1212" t="s">
        <v>2559</v>
      </c>
      <c r="C2331" s="1213"/>
      <c r="D2331" s="1214"/>
      <c r="E2331" s="217">
        <v>882949</v>
      </c>
      <c r="F2331" s="218">
        <v>1</v>
      </c>
      <c r="G2331" s="401" t="s">
        <v>40</v>
      </c>
      <c r="H2331" s="401"/>
      <c r="I2331" s="1332">
        <f>+'FY2024 MILCON Inflation Table'!F22</f>
        <v>0.95834826759383673</v>
      </c>
      <c r="J2331" s="1333"/>
      <c r="K2331" s="212">
        <f>+E2331*I2331</f>
        <v>846172.64452371059</v>
      </c>
      <c r="L2331" s="401" t="s">
        <v>40</v>
      </c>
      <c r="M2331" s="50"/>
      <c r="N2331" s="50"/>
      <c r="P2331" s="9"/>
      <c r="Q2331" s="34"/>
      <c r="R2331" s="5"/>
      <c r="S2331" s="35"/>
    </row>
    <row r="2332" spans="1:19" ht="30" customHeight="1" x14ac:dyDescent="0.35">
      <c r="A2332" s="186">
        <v>85110</v>
      </c>
      <c r="B2332" s="1264" t="s">
        <v>2558</v>
      </c>
      <c r="C2332" s="1264"/>
      <c r="D2332" s="1264"/>
      <c r="E2332" s="217">
        <v>148.53</v>
      </c>
      <c r="F2332" s="218">
        <v>147</v>
      </c>
      <c r="G2332" s="401" t="s">
        <v>4</v>
      </c>
      <c r="H2332" s="401"/>
      <c r="I2332" s="1332">
        <f>+'FY2024 MILCON Inflation Table'!F22</f>
        <v>0.95834826759383673</v>
      </c>
      <c r="J2332" s="1333"/>
      <c r="K2332" s="212">
        <f>+E2332*F2332*I2332</f>
        <v>20924.489823299748</v>
      </c>
      <c r="L2332" s="401" t="s">
        <v>40</v>
      </c>
      <c r="M2332" s="97"/>
      <c r="N2332" s="50"/>
      <c r="P2332" s="9"/>
      <c r="Q2332" s="34"/>
      <c r="R2332" s="5"/>
      <c r="S2332" s="35"/>
    </row>
    <row r="2333" spans="1:19" ht="30" customHeight="1" x14ac:dyDescent="0.35">
      <c r="A2333" s="186" t="s">
        <v>1083</v>
      </c>
      <c r="B2333" s="1264" t="s">
        <v>2562</v>
      </c>
      <c r="C2333" s="1264"/>
      <c r="D2333" s="1264"/>
      <c r="E2333" s="217">
        <f>+K329</f>
        <v>42315.171388264513</v>
      </c>
      <c r="F2333" s="218">
        <v>1</v>
      </c>
      <c r="G2333" s="401" t="s">
        <v>40</v>
      </c>
      <c r="H2333" s="401"/>
      <c r="I2333" s="1400">
        <f>+'FY2024 MILCON Inflation Table'!F19</f>
        <v>1.0438745311870332</v>
      </c>
      <c r="J2333" s="1401"/>
      <c r="K2333" s="212">
        <f>+E2333*F2333*I2333</f>
        <v>44171.729695023583</v>
      </c>
      <c r="L2333" s="401" t="s">
        <v>40</v>
      </c>
      <c r="M2333" s="50"/>
      <c r="N2333" s="50"/>
      <c r="O2333" s="384"/>
      <c r="P2333" s="9"/>
      <c r="Q2333" s="34"/>
      <c r="R2333" s="5"/>
      <c r="S2333" s="35"/>
    </row>
    <row r="2334" spans="1:19" ht="30" customHeight="1" thickBot="1" x14ac:dyDescent="0.4">
      <c r="A2334" s="186"/>
      <c r="B2334" s="1350"/>
      <c r="C2334" s="1351"/>
      <c r="D2334" s="1352"/>
      <c r="E2334" s="520"/>
      <c r="F2334" s="784"/>
      <c r="G2334" s="520"/>
      <c r="H2334" s="750"/>
      <c r="I2334" s="503" t="s">
        <v>223</v>
      </c>
      <c r="J2334" s="494" t="s">
        <v>37</v>
      </c>
      <c r="K2334" s="212">
        <f>SUM(K2329:K2333)</f>
        <v>1887680.5848569593</v>
      </c>
      <c r="L2334" s="401" t="s">
        <v>40</v>
      </c>
      <c r="M2334" s="96"/>
      <c r="N2334" s="50"/>
      <c r="O2334" s="384"/>
      <c r="P2334" s="9"/>
      <c r="Q2334" s="34"/>
      <c r="R2334" s="5"/>
      <c r="S2334" s="35"/>
    </row>
    <row r="2335" spans="1:19" ht="30" customHeight="1" thickBot="1" x14ac:dyDescent="0.4">
      <c r="A2335" s="1199"/>
      <c r="B2335" s="1200"/>
      <c r="C2335" s="1200"/>
      <c r="D2335" s="1200"/>
      <c r="E2335" s="1200"/>
      <c r="F2335" s="1200"/>
      <c r="G2335" s="1200"/>
      <c r="H2335" s="1200"/>
      <c r="I2335" s="1200"/>
      <c r="J2335" s="1200"/>
      <c r="K2335" s="1200"/>
      <c r="L2335" s="1201"/>
      <c r="M2335" s="50"/>
      <c r="N2335" s="50"/>
      <c r="O2335" s="384"/>
      <c r="P2335" s="9"/>
      <c r="Q2335" s="34"/>
      <c r="R2335" s="5"/>
      <c r="S2335" s="35"/>
    </row>
    <row r="2336" spans="1:19" ht="30" customHeight="1" x14ac:dyDescent="0.35">
      <c r="A2336" s="388" t="s">
        <v>1</v>
      </c>
      <c r="B2336" s="389">
        <v>3901</v>
      </c>
      <c r="C2336" s="1290" t="s">
        <v>1087</v>
      </c>
      <c r="D2336" s="1291"/>
      <c r="E2336" s="392" t="s">
        <v>3</v>
      </c>
      <c r="F2336" s="393" t="s">
        <v>40</v>
      </c>
      <c r="G2336" s="390" t="s">
        <v>38</v>
      </c>
      <c r="H2336" s="135">
        <v>1</v>
      </c>
      <c r="I2336" s="392" t="s">
        <v>5</v>
      </c>
      <c r="J2336" s="1207" t="s">
        <v>1088</v>
      </c>
      <c r="K2336" s="1207"/>
      <c r="L2336" s="1208"/>
      <c r="M2336" s="97"/>
      <c r="N2336" s="50"/>
      <c r="O2336" s="384"/>
      <c r="P2336" s="9"/>
      <c r="Q2336" s="34"/>
      <c r="R2336" s="5"/>
      <c r="S2336" s="35"/>
    </row>
    <row r="2337" spans="1:25" ht="30" customHeight="1" x14ac:dyDescent="0.35">
      <c r="A2337" s="185"/>
      <c r="B2337" s="1272" t="s">
        <v>7</v>
      </c>
      <c r="C2337" s="1272"/>
      <c r="D2337" s="1272"/>
      <c r="E2337" s="185" t="s">
        <v>52</v>
      </c>
      <c r="F2337" s="185" t="s">
        <v>53</v>
      </c>
      <c r="G2337" s="1219" t="s">
        <v>54</v>
      </c>
      <c r="H2337" s="1220"/>
      <c r="I2337" s="185" t="s">
        <v>55</v>
      </c>
      <c r="J2337" s="185" t="s">
        <v>56</v>
      </c>
      <c r="K2337" s="1209" t="s">
        <v>37</v>
      </c>
      <c r="L2337" s="1210"/>
      <c r="M2337" s="97"/>
      <c r="N2337" s="50"/>
      <c r="O2337" s="384"/>
      <c r="P2337" s="9"/>
      <c r="Q2337" s="34"/>
      <c r="R2337" s="5"/>
      <c r="S2337" s="35"/>
    </row>
    <row r="2338" spans="1:25" ht="30" customHeight="1" thickBot="1" x14ac:dyDescent="0.4">
      <c r="A2338" s="407"/>
      <c r="B2338" s="1500" t="s">
        <v>1089</v>
      </c>
      <c r="C2338" s="1500"/>
      <c r="D2338" s="1500"/>
      <c r="E2338" s="469">
        <f>K2325</f>
        <v>984753.79779898445</v>
      </c>
      <c r="F2338" s="188" t="s">
        <v>40</v>
      </c>
      <c r="G2338" s="1332"/>
      <c r="H2338" s="1333"/>
      <c r="I2338" s="188"/>
      <c r="J2338" s="470" t="s">
        <v>491</v>
      </c>
      <c r="K2338" s="471">
        <f>E2338</f>
        <v>984753.79779898445</v>
      </c>
      <c r="L2338" s="525" t="s">
        <v>40</v>
      </c>
      <c r="M2338" s="50"/>
      <c r="N2338" s="50"/>
      <c r="O2338" s="384"/>
      <c r="P2338" s="9"/>
      <c r="Q2338" s="34"/>
      <c r="R2338" s="5"/>
      <c r="S2338" s="35"/>
    </row>
    <row r="2339" spans="1:25" ht="30" customHeight="1" thickBot="1" x14ac:dyDescent="0.4">
      <c r="A2339" s="1199"/>
      <c r="B2339" s="1200"/>
      <c r="C2339" s="1200"/>
      <c r="D2339" s="1200"/>
      <c r="E2339" s="1200"/>
      <c r="F2339" s="1200"/>
      <c r="G2339" s="1200"/>
      <c r="H2339" s="1200"/>
      <c r="I2339" s="1200"/>
      <c r="J2339" s="1200"/>
      <c r="K2339" s="1200"/>
      <c r="L2339" s="1201"/>
      <c r="M2339" s="50"/>
      <c r="N2339" s="50"/>
      <c r="O2339" s="384"/>
      <c r="P2339" s="9"/>
      <c r="Q2339" s="34"/>
      <c r="R2339" s="5"/>
      <c r="S2339" s="35"/>
    </row>
    <row r="2340" spans="1:25" ht="30" customHeight="1" x14ac:dyDescent="0.35">
      <c r="A2340" s="388" t="s">
        <v>1</v>
      </c>
      <c r="B2340" s="389">
        <v>3902</v>
      </c>
      <c r="C2340" s="1290" t="s">
        <v>1090</v>
      </c>
      <c r="D2340" s="1291"/>
      <c r="E2340" s="392" t="s">
        <v>3</v>
      </c>
      <c r="F2340" s="393" t="s">
        <v>487</v>
      </c>
      <c r="G2340" s="390" t="s">
        <v>38</v>
      </c>
      <c r="H2340" s="135">
        <v>16877</v>
      </c>
      <c r="I2340" s="392" t="s">
        <v>5</v>
      </c>
      <c r="J2340" s="1207" t="s">
        <v>488</v>
      </c>
      <c r="K2340" s="1207"/>
      <c r="L2340" s="1208"/>
      <c r="M2340" s="97"/>
      <c r="N2340" s="50"/>
      <c r="O2340" s="384"/>
      <c r="P2340" s="9"/>
      <c r="Q2340" s="34"/>
      <c r="R2340" s="5"/>
      <c r="S2340" s="35"/>
    </row>
    <row r="2341" spans="1:25" ht="30" customHeight="1" x14ac:dyDescent="0.35">
      <c r="A2341" s="185"/>
      <c r="B2341" s="1272" t="s">
        <v>7</v>
      </c>
      <c r="C2341" s="1272"/>
      <c r="D2341" s="1272"/>
      <c r="E2341" s="185" t="s">
        <v>52</v>
      </c>
      <c r="F2341" s="185" t="s">
        <v>53</v>
      </c>
      <c r="G2341" s="1219" t="s">
        <v>54</v>
      </c>
      <c r="H2341" s="1220"/>
      <c r="I2341" s="185" t="s">
        <v>55</v>
      </c>
      <c r="J2341" s="185" t="s">
        <v>56</v>
      </c>
      <c r="K2341" s="1209" t="s">
        <v>37</v>
      </c>
      <c r="L2341" s="1210"/>
      <c r="M2341" s="96"/>
      <c r="N2341" s="50"/>
      <c r="O2341" s="384"/>
      <c r="P2341" s="9"/>
      <c r="Q2341" s="34"/>
      <c r="R2341" s="5"/>
      <c r="S2341" s="35"/>
    </row>
    <row r="2342" spans="1:25" ht="30" customHeight="1" thickBot="1" x14ac:dyDescent="0.4">
      <c r="A2342" s="407"/>
      <c r="B2342" s="1500" t="s">
        <v>491</v>
      </c>
      <c r="C2342" s="1500"/>
      <c r="D2342" s="1500"/>
      <c r="E2342" s="469"/>
      <c r="F2342" s="188"/>
      <c r="G2342" s="1332"/>
      <c r="H2342" s="1333"/>
      <c r="I2342" s="188"/>
      <c r="J2342" s="470" t="s">
        <v>491</v>
      </c>
      <c r="K2342" s="35" t="s">
        <v>491</v>
      </c>
      <c r="L2342" s="525" t="s">
        <v>487</v>
      </c>
      <c r="M2342" s="50"/>
      <c r="N2342" s="50"/>
      <c r="O2342" s="384"/>
      <c r="P2342" s="9"/>
      <c r="Q2342" s="34"/>
      <c r="R2342" s="5"/>
      <c r="S2342" s="35"/>
    </row>
    <row r="2343" spans="1:25" ht="30" customHeight="1" thickBot="1" x14ac:dyDescent="0.4">
      <c r="A2343" s="1199"/>
      <c r="B2343" s="1200"/>
      <c r="C2343" s="1200"/>
      <c r="D2343" s="1200"/>
      <c r="E2343" s="1200"/>
      <c r="F2343" s="1200"/>
      <c r="G2343" s="1200"/>
      <c r="H2343" s="1200"/>
      <c r="I2343" s="1200"/>
      <c r="J2343" s="1200"/>
      <c r="K2343" s="1200"/>
      <c r="L2343" s="1201"/>
      <c r="M2343" s="50"/>
      <c r="N2343" s="50"/>
      <c r="O2343" s="384"/>
      <c r="P2343" s="9"/>
      <c r="Q2343" s="34"/>
      <c r="R2343" s="5"/>
      <c r="S2343" s="35"/>
    </row>
    <row r="2344" spans="1:25" ht="30" customHeight="1" x14ac:dyDescent="0.35">
      <c r="A2344" s="388" t="s">
        <v>1</v>
      </c>
      <c r="B2344" s="389">
        <v>3903</v>
      </c>
      <c r="C2344" s="1290" t="s">
        <v>1091</v>
      </c>
      <c r="D2344" s="1291"/>
      <c r="E2344" s="392" t="s">
        <v>3</v>
      </c>
      <c r="F2344" s="393" t="s">
        <v>40</v>
      </c>
      <c r="G2344" s="390" t="s">
        <v>38</v>
      </c>
      <c r="H2344" s="135">
        <v>1</v>
      </c>
      <c r="I2344" s="392" t="s">
        <v>5</v>
      </c>
      <c r="J2344" s="1207" t="s">
        <v>2797</v>
      </c>
      <c r="K2344" s="1207"/>
      <c r="L2344" s="1208"/>
      <c r="M2344" s="97"/>
      <c r="N2344" s="50"/>
      <c r="P2344" s="9"/>
      <c r="Q2344" s="34"/>
      <c r="R2344" s="5"/>
      <c r="S2344" s="35"/>
    </row>
    <row r="2345" spans="1:25" ht="30" customHeight="1" x14ac:dyDescent="0.35">
      <c r="A2345" s="185" t="s">
        <v>177</v>
      </c>
      <c r="B2345" s="1272" t="s">
        <v>7</v>
      </c>
      <c r="C2345" s="1272"/>
      <c r="D2345" s="1272"/>
      <c r="E2345" s="185" t="s">
        <v>52</v>
      </c>
      <c r="F2345" s="185" t="s">
        <v>53</v>
      </c>
      <c r="G2345" s="1219" t="s">
        <v>54</v>
      </c>
      <c r="H2345" s="1220"/>
      <c r="I2345" s="185" t="s">
        <v>55</v>
      </c>
      <c r="J2345" s="185" t="s">
        <v>56</v>
      </c>
      <c r="K2345" s="1209" t="s">
        <v>37</v>
      </c>
      <c r="L2345" s="1210"/>
      <c r="M2345" s="96"/>
      <c r="N2345" s="50"/>
      <c r="O2345" s="5"/>
      <c r="P2345" s="9"/>
      <c r="Q2345" s="34"/>
      <c r="R2345" s="5"/>
      <c r="S2345" s="35"/>
    </row>
    <row r="2346" spans="1:25" ht="30" customHeight="1" x14ac:dyDescent="0.35">
      <c r="A2346" s="407"/>
      <c r="B2346" s="1734" t="s">
        <v>2796</v>
      </c>
      <c r="C2346" s="1734"/>
      <c r="D2346" s="1734"/>
      <c r="E2346" s="469">
        <v>43156724</v>
      </c>
      <c r="F2346" s="188" t="s">
        <v>40</v>
      </c>
      <c r="G2346" s="1332"/>
      <c r="H2346" s="1333"/>
      <c r="I2346" s="939">
        <v>0.9</v>
      </c>
      <c r="J2346" s="470">
        <f>+'FY2024 MILCON Inflation Table'!F17</f>
        <v>1.2685988100270957</v>
      </c>
      <c r="K2346" s="471">
        <f>E2346*I2346*J2346</f>
        <v>49273711.839961022</v>
      </c>
      <c r="L2346" s="188" t="s">
        <v>40</v>
      </c>
      <c r="M2346" s="96"/>
      <c r="N2346" s="50"/>
      <c r="O2346" s="5"/>
      <c r="P2346" s="9"/>
      <c r="Q2346" s="34"/>
      <c r="R2346" s="5"/>
      <c r="S2346" s="35"/>
    </row>
    <row r="2347" spans="1:25" ht="30" customHeight="1" x14ac:dyDescent="0.35">
      <c r="A2347" s="940"/>
      <c r="B2347" s="941"/>
      <c r="C2347" s="941"/>
      <c r="D2347" s="941"/>
      <c r="E2347" s="942"/>
      <c r="F2347" s="943"/>
      <c r="G2347" s="503"/>
      <c r="H2347" s="503"/>
      <c r="I2347" s="944" t="s">
        <v>257</v>
      </c>
      <c r="J2347" s="560">
        <f>VLOOKUP(B2344,'Mil Cost Premiums for PUCs'!$A$4:$R$285,18,FALSE)</f>
        <v>1.2185124180109259</v>
      </c>
      <c r="K2347" s="212">
        <f>K2346*J2347</f>
        <v>60040629.758484498</v>
      </c>
      <c r="L2347" s="186" t="s">
        <v>40</v>
      </c>
      <c r="M2347" s="97"/>
      <c r="N2347" s="50"/>
      <c r="O2347" s="384"/>
      <c r="P2347" s="9"/>
      <c r="Q2347" s="34"/>
      <c r="R2347" s="5"/>
      <c r="S2347" s="35"/>
    </row>
    <row r="2348" spans="1:25" ht="30" customHeight="1" thickBot="1" x14ac:dyDescent="0.4">
      <c r="A2348" s="1553" t="s">
        <v>1092</v>
      </c>
      <c r="B2348" s="1554"/>
      <c r="C2348" s="1554"/>
      <c r="D2348" s="1554"/>
      <c r="E2348" s="1554"/>
      <c r="F2348" s="1554"/>
      <c r="G2348" s="1554"/>
      <c r="H2348" s="1554"/>
      <c r="I2348" s="1554"/>
      <c r="J2348" s="1554"/>
      <c r="K2348" s="1554"/>
      <c r="L2348" s="1555"/>
      <c r="M2348" s="50"/>
      <c r="N2348" s="50"/>
      <c r="O2348" s="384"/>
      <c r="P2348" s="9"/>
      <c r="Q2348" s="34"/>
      <c r="R2348" s="5"/>
      <c r="S2348" s="35"/>
    </row>
    <row r="2349" spans="1:25" ht="30" customHeight="1" thickBot="1" x14ac:dyDescent="0.4">
      <c r="A2349" s="1199"/>
      <c r="B2349" s="1200"/>
      <c r="C2349" s="1200"/>
      <c r="D2349" s="1200"/>
      <c r="E2349" s="1200"/>
      <c r="F2349" s="1200"/>
      <c r="G2349" s="1200"/>
      <c r="H2349" s="1200"/>
      <c r="I2349" s="1200"/>
      <c r="J2349" s="1200"/>
      <c r="K2349" s="1200"/>
      <c r="L2349" s="1201"/>
      <c r="M2349" s="50"/>
      <c r="N2349" s="50"/>
      <c r="O2349" s="384"/>
      <c r="P2349" s="9"/>
      <c r="Q2349" s="34"/>
      <c r="R2349" s="5"/>
      <c r="S2349" s="35"/>
    </row>
    <row r="2350" spans="1:25" ht="30" customHeight="1" x14ac:dyDescent="0.35">
      <c r="A2350" s="388" t="s">
        <v>1</v>
      </c>
      <c r="B2350" s="389">
        <v>3904</v>
      </c>
      <c r="C2350" s="1205" t="s">
        <v>1093</v>
      </c>
      <c r="D2350" s="1206"/>
      <c r="E2350" s="392" t="s">
        <v>3</v>
      </c>
      <c r="F2350" s="393" t="s">
        <v>40</v>
      </c>
      <c r="G2350" s="390" t="s">
        <v>38</v>
      </c>
      <c r="H2350" s="132">
        <v>24564</v>
      </c>
      <c r="I2350" s="392" t="s">
        <v>5</v>
      </c>
      <c r="J2350" s="1207" t="s">
        <v>2851</v>
      </c>
      <c r="K2350" s="1207"/>
      <c r="L2350" s="1208"/>
      <c r="M2350" s="98"/>
      <c r="N2350" s="96"/>
      <c r="O2350" s="384"/>
      <c r="P2350" s="9"/>
      <c r="Q2350" s="34"/>
      <c r="R2350" s="5"/>
      <c r="S2350" s="35"/>
    </row>
    <row r="2351" spans="1:25" ht="30" customHeight="1" x14ac:dyDescent="0.35">
      <c r="A2351" s="185" t="s">
        <v>177</v>
      </c>
      <c r="B2351" s="1272" t="s">
        <v>7</v>
      </c>
      <c r="C2351" s="1272"/>
      <c r="D2351" s="1272"/>
      <c r="E2351" s="185" t="s">
        <v>382</v>
      </c>
      <c r="F2351" s="185" t="s">
        <v>53</v>
      </c>
      <c r="G2351" s="1219" t="s">
        <v>54</v>
      </c>
      <c r="H2351" s="1220"/>
      <c r="I2351" s="124" t="s">
        <v>55</v>
      </c>
      <c r="J2351" s="185" t="s">
        <v>56</v>
      </c>
      <c r="K2351" s="1209" t="s">
        <v>180</v>
      </c>
      <c r="L2351" s="1210"/>
      <c r="M2351" s="98"/>
      <c r="N2351" s="50"/>
      <c r="O2351" s="384"/>
      <c r="P2351" s="9"/>
      <c r="Q2351" s="34"/>
      <c r="R2351" s="5"/>
      <c r="S2351" s="35"/>
      <c r="X2351" s="396"/>
      <c r="Y2351" s="396"/>
    </row>
    <row r="2352" spans="1:25" s="396" customFormat="1" ht="30" customHeight="1" x14ac:dyDescent="0.35">
      <c r="A2352" s="186">
        <v>21140</v>
      </c>
      <c r="B2352" s="1202" t="s">
        <v>838</v>
      </c>
      <c r="C2352" s="1203"/>
      <c r="D2352" s="1204"/>
      <c r="E2352" s="217">
        <v>229</v>
      </c>
      <c r="F2352" s="218" t="s">
        <v>108</v>
      </c>
      <c r="G2352" s="804">
        <f>H2350</f>
        <v>24564</v>
      </c>
      <c r="H2352" s="401" t="s">
        <v>214</v>
      </c>
      <c r="I2352" s="947"/>
      <c r="J2352" s="406">
        <f>+'FY2024 MILCON Inflation Table'!F10</f>
        <v>1.6540685803452817</v>
      </c>
      <c r="K2352" s="219">
        <f>+E2352+G2352+J2352</f>
        <v>24794.654068580345</v>
      </c>
      <c r="L2352" s="401" t="s">
        <v>40</v>
      </c>
      <c r="M2352" s="50"/>
      <c r="N2352" s="50"/>
      <c r="O2352" s="384"/>
      <c r="P2352" s="9"/>
      <c r="Q2352" s="34"/>
      <c r="R2352" s="5"/>
      <c r="S2352" s="35"/>
      <c r="T2352" s="9"/>
      <c r="U2352" s="9"/>
      <c r="V2352" s="9"/>
      <c r="W2352" s="9"/>
      <c r="X2352" s="9"/>
      <c r="Y2352" s="9"/>
    </row>
    <row r="2353" spans="1:19" ht="30" customHeight="1" x14ac:dyDescent="0.35">
      <c r="A2353" s="188" t="s">
        <v>1094</v>
      </c>
      <c r="B2353" s="1264" t="s">
        <v>1095</v>
      </c>
      <c r="C2353" s="1264"/>
      <c r="D2353" s="1264"/>
      <c r="E2353" s="948">
        <v>9590000</v>
      </c>
      <c r="F2353" s="949" t="s">
        <v>40</v>
      </c>
      <c r="G2353" s="950"/>
      <c r="H2353" s="757"/>
      <c r="I2353" s="947">
        <v>0.98</v>
      </c>
      <c r="J2353" s="732">
        <f>+'FY2024 MILCON Inflation Table'!F4</f>
        <v>1.7282</v>
      </c>
      <c r="K2353" s="948">
        <f>+E2353/I2353*J2353</f>
        <v>16911671.428571429</v>
      </c>
      <c r="L2353" s="407" t="s">
        <v>40</v>
      </c>
      <c r="M2353" s="50"/>
      <c r="N2353" s="50"/>
      <c r="O2353" s="384"/>
      <c r="P2353" s="9"/>
      <c r="Q2353" s="34"/>
      <c r="R2353" s="5"/>
      <c r="S2353" s="35"/>
    </row>
    <row r="2354" spans="1:19" ht="30" customHeight="1" x14ac:dyDescent="0.35">
      <c r="A2354" s="188" t="s">
        <v>1094</v>
      </c>
      <c r="B2354" s="1264" t="s">
        <v>1095</v>
      </c>
      <c r="C2354" s="1264"/>
      <c r="D2354" s="1264"/>
      <c r="E2354" s="951">
        <v>7130000</v>
      </c>
      <c r="F2354" s="949" t="s">
        <v>40</v>
      </c>
      <c r="G2354" s="516"/>
      <c r="H2354" s="283"/>
      <c r="I2354" s="952">
        <v>1</v>
      </c>
      <c r="J2354" s="953">
        <f>+'FY2024 MILCON Inflation Table'!F15</f>
        <v>1.3402943931789864</v>
      </c>
      <c r="K2354" s="948">
        <f>+E2354/I2354*J2354</f>
        <v>9556299.0233661719</v>
      </c>
      <c r="L2354" s="407" t="s">
        <v>40</v>
      </c>
      <c r="M2354" s="50"/>
      <c r="N2354" s="50"/>
      <c r="O2354" s="384"/>
      <c r="P2354" s="9"/>
      <c r="Q2354" s="34"/>
      <c r="R2354" s="5"/>
      <c r="S2354" s="35"/>
    </row>
    <row r="2355" spans="1:19" ht="30" customHeight="1" x14ac:dyDescent="0.35">
      <c r="A2355" s="407"/>
      <c r="B2355" s="383"/>
      <c r="C2355" s="383"/>
      <c r="D2355" s="383"/>
      <c r="E2355" s="954"/>
      <c r="F2355" s="407"/>
      <c r="G2355" s="503"/>
      <c r="H2355" s="757"/>
      <c r="I2355" s="407"/>
      <c r="J2355" s="407" t="s">
        <v>192</v>
      </c>
      <c r="K2355" s="948">
        <f>AVERAGE(K2352:K2354)</f>
        <v>8830921.7020020615</v>
      </c>
      <c r="L2355" s="407" t="s">
        <v>40</v>
      </c>
      <c r="M2355" s="50"/>
      <c r="N2355" s="50"/>
      <c r="O2355" s="384"/>
      <c r="P2355" s="9"/>
      <c r="Q2355" s="34"/>
      <c r="R2355" s="5"/>
      <c r="S2355" s="35"/>
    </row>
    <row r="2356" spans="1:19" ht="30" customHeight="1" x14ac:dyDescent="0.35">
      <c r="A2356" s="186"/>
      <c r="B2356" s="1264" t="s">
        <v>2564</v>
      </c>
      <c r="C2356" s="1264"/>
      <c r="D2356" s="1264"/>
      <c r="F2356" s="503"/>
      <c r="G2356" s="1212" t="s">
        <v>1097</v>
      </c>
      <c r="H2356" s="1213"/>
      <c r="I2356" s="1214"/>
      <c r="J2356" s="494" t="s">
        <v>37</v>
      </c>
      <c r="K2356" s="219">
        <f>+K2355</f>
        <v>8830921.7020020615</v>
      </c>
      <c r="L2356" s="186" t="s">
        <v>40</v>
      </c>
      <c r="M2356" s="50"/>
      <c r="P2356" s="9"/>
      <c r="Q2356" s="34"/>
      <c r="R2356" s="5"/>
      <c r="S2356" s="35"/>
    </row>
    <row r="2357" spans="1:19" ht="30" customHeight="1" thickBot="1" x14ac:dyDescent="0.4">
      <c r="A2357" s="1553" t="s">
        <v>2563</v>
      </c>
      <c r="B2357" s="1554"/>
      <c r="C2357" s="1554"/>
      <c r="D2357" s="1554"/>
      <c r="E2357" s="1554"/>
      <c r="F2357" s="1554"/>
      <c r="G2357" s="1554"/>
      <c r="H2357" s="1554"/>
      <c r="I2357" s="1554"/>
      <c r="J2357" s="1554"/>
      <c r="K2357" s="1554"/>
      <c r="L2357" s="1555"/>
      <c r="M2357" s="50"/>
      <c r="N2357" s="50"/>
      <c r="O2357" s="5"/>
      <c r="P2357" s="9"/>
      <c r="Q2357" s="34"/>
      <c r="R2357" s="5"/>
      <c r="S2357" s="35"/>
    </row>
    <row r="2358" spans="1:19" ht="30" customHeight="1" thickBot="1" x14ac:dyDescent="0.4">
      <c r="A2358" s="1199"/>
      <c r="B2358" s="1200"/>
      <c r="C2358" s="1200"/>
      <c r="D2358" s="1200"/>
      <c r="E2358" s="1200"/>
      <c r="F2358" s="1200"/>
      <c r="G2358" s="1200"/>
      <c r="H2358" s="1200"/>
      <c r="I2358" s="1200"/>
      <c r="J2358" s="1200"/>
      <c r="K2358" s="1200"/>
      <c r="L2358" s="1201"/>
      <c r="M2358" s="50"/>
      <c r="N2358" s="50"/>
      <c r="O2358" s="5"/>
      <c r="P2358" s="9"/>
      <c r="Q2358" s="34"/>
      <c r="R2358" s="5"/>
      <c r="S2358" s="35"/>
    </row>
    <row r="2359" spans="1:19" ht="30" customHeight="1" x14ac:dyDescent="0.35">
      <c r="A2359" s="388" t="s">
        <v>1</v>
      </c>
      <c r="B2359" s="389">
        <v>4111</v>
      </c>
      <c r="C2359" s="1205" t="s">
        <v>1098</v>
      </c>
      <c r="D2359" s="1206"/>
      <c r="E2359" s="392" t="s">
        <v>3</v>
      </c>
      <c r="F2359" s="393" t="s">
        <v>1099</v>
      </c>
      <c r="G2359" s="520" t="s">
        <v>2</v>
      </c>
      <c r="H2359" s="132">
        <v>50000</v>
      </c>
      <c r="I2359" s="392" t="s">
        <v>5</v>
      </c>
      <c r="J2359" s="1207" t="s">
        <v>1100</v>
      </c>
      <c r="K2359" s="1207"/>
      <c r="L2359" s="1208"/>
      <c r="M2359" s="97"/>
      <c r="N2359" s="50"/>
      <c r="O2359" s="5"/>
      <c r="P2359" s="9"/>
      <c r="Q2359" s="34"/>
      <c r="R2359" s="5"/>
      <c r="S2359" s="35"/>
    </row>
    <row r="2360" spans="1:19" ht="30" customHeight="1" x14ac:dyDescent="0.35">
      <c r="A2360" s="474" t="s">
        <v>6</v>
      </c>
      <c r="B2360" s="1334" t="s">
        <v>7</v>
      </c>
      <c r="C2360" s="1335"/>
      <c r="D2360" s="1336"/>
      <c r="E2360" s="475" t="s">
        <v>8</v>
      </c>
      <c r="F2360" s="476" t="s">
        <v>9</v>
      </c>
      <c r="G2360" s="477" t="s">
        <v>10</v>
      </c>
      <c r="H2360" s="478" t="s">
        <v>11</v>
      </c>
      <c r="I2360" s="478" t="s">
        <v>12</v>
      </c>
      <c r="J2360" s="955" t="s">
        <v>2774</v>
      </c>
      <c r="K2360" s="474" t="s">
        <v>13</v>
      </c>
      <c r="L2360" s="480" t="s">
        <v>39</v>
      </c>
      <c r="M2360" s="97"/>
      <c r="N2360" s="50"/>
      <c r="O2360" s="5"/>
      <c r="P2360" s="9"/>
      <c r="Q2360" s="34"/>
      <c r="R2360" s="5"/>
      <c r="S2360" s="35"/>
    </row>
    <row r="2361" spans="1:19" ht="30" customHeight="1" x14ac:dyDescent="0.35">
      <c r="A2361" s="481" t="s">
        <v>114</v>
      </c>
      <c r="B2361" s="1326" t="s">
        <v>115</v>
      </c>
      <c r="C2361" s="1327"/>
      <c r="D2361" s="1328"/>
      <c r="E2361" s="482">
        <v>5162</v>
      </c>
      <c r="F2361" s="483" t="s">
        <v>16</v>
      </c>
      <c r="G2361" s="483">
        <v>139001.339342975</v>
      </c>
      <c r="H2361" s="483">
        <v>10594.0516232276</v>
      </c>
      <c r="I2361" s="483">
        <v>14897.915825620799</v>
      </c>
      <c r="J2361" s="483">
        <v>0</v>
      </c>
      <c r="K2361" s="484">
        <f>+G2361+H2361+I2361+J2361</f>
        <v>164493.30679182339</v>
      </c>
      <c r="L2361" s="483" t="s">
        <v>16</v>
      </c>
      <c r="M2361" s="50"/>
      <c r="N2361" s="50"/>
      <c r="P2361" s="9"/>
      <c r="Q2361" s="34"/>
      <c r="R2361" s="5"/>
      <c r="S2361" s="35"/>
    </row>
    <row r="2362" spans="1:19" ht="30" customHeight="1" x14ac:dyDescent="0.35">
      <c r="A2362" s="481" t="s">
        <v>116</v>
      </c>
      <c r="B2362" s="1326" t="s">
        <v>117</v>
      </c>
      <c r="C2362" s="1327"/>
      <c r="D2362" s="1328"/>
      <c r="E2362" s="482">
        <v>151</v>
      </c>
      <c r="F2362" s="483" t="s">
        <v>16</v>
      </c>
      <c r="G2362" s="483">
        <v>75801.543206305607</v>
      </c>
      <c r="H2362" s="483">
        <v>78149.779455904398</v>
      </c>
      <c r="I2362" s="483">
        <v>3211.2116278834001</v>
      </c>
      <c r="J2362" s="483">
        <v>0</v>
      </c>
      <c r="K2362" s="484">
        <f t="shared" ref="K2362:K2369" si="54">+G2362+H2362+I2362+J2362</f>
        <v>157162.5342900934</v>
      </c>
      <c r="L2362" s="483" t="s">
        <v>16</v>
      </c>
      <c r="M2362" s="50"/>
      <c r="N2362" s="50"/>
      <c r="P2362" s="9"/>
      <c r="Q2362" s="34"/>
      <c r="R2362" s="5"/>
      <c r="S2362" s="35"/>
    </row>
    <row r="2363" spans="1:19" ht="30" customHeight="1" x14ac:dyDescent="0.35">
      <c r="A2363" s="481" t="s">
        <v>118</v>
      </c>
      <c r="B2363" s="1326" t="s">
        <v>119</v>
      </c>
      <c r="C2363" s="1327"/>
      <c r="D2363" s="1328"/>
      <c r="E2363" s="482">
        <v>1178</v>
      </c>
      <c r="F2363" s="483" t="s">
        <v>28</v>
      </c>
      <c r="G2363" s="483">
        <v>74591.358239919093</v>
      </c>
      <c r="H2363" s="483">
        <v>26612.461744466698</v>
      </c>
      <c r="I2363" s="483">
        <v>0</v>
      </c>
      <c r="J2363" s="483">
        <v>0</v>
      </c>
      <c r="K2363" s="484">
        <f t="shared" si="54"/>
        <v>101203.81998438579</v>
      </c>
      <c r="L2363" s="483" t="s">
        <v>28</v>
      </c>
      <c r="M2363" s="50"/>
      <c r="N2363" s="50"/>
      <c r="O2363" s="5"/>
      <c r="P2363" s="9"/>
      <c r="Q2363" s="34"/>
      <c r="R2363" s="5"/>
      <c r="S2363" s="35"/>
    </row>
    <row r="2364" spans="1:19" ht="30" customHeight="1" x14ac:dyDescent="0.35">
      <c r="A2364" s="481" t="s">
        <v>120</v>
      </c>
      <c r="B2364" s="1326" t="s">
        <v>121</v>
      </c>
      <c r="C2364" s="1327"/>
      <c r="D2364" s="1328"/>
      <c r="E2364" s="482">
        <v>12756.41</v>
      </c>
      <c r="F2364" s="483" t="s">
        <v>28</v>
      </c>
      <c r="G2364" s="483">
        <v>253694.18978091099</v>
      </c>
      <c r="H2364" s="483">
        <v>190372.74339525701</v>
      </c>
      <c r="I2364" s="483">
        <v>0</v>
      </c>
      <c r="J2364" s="483">
        <v>0</v>
      </c>
      <c r="K2364" s="484">
        <f t="shared" si="54"/>
        <v>444066.93317616801</v>
      </c>
      <c r="L2364" s="483" t="s">
        <v>28</v>
      </c>
      <c r="M2364" s="50"/>
      <c r="N2364" s="9"/>
      <c r="O2364" s="5"/>
      <c r="P2364" s="9"/>
      <c r="Q2364" s="34"/>
      <c r="R2364" s="5"/>
      <c r="S2364" s="35"/>
    </row>
    <row r="2365" spans="1:19" ht="30" customHeight="1" x14ac:dyDescent="0.35">
      <c r="A2365" s="481" t="s">
        <v>122</v>
      </c>
      <c r="B2365" s="1326" t="s">
        <v>123</v>
      </c>
      <c r="C2365" s="1327"/>
      <c r="D2365" s="1328"/>
      <c r="E2365" s="482">
        <v>63</v>
      </c>
      <c r="F2365" s="483" t="s">
        <v>40</v>
      </c>
      <c r="G2365" s="483">
        <v>43903.617135760302</v>
      </c>
      <c r="H2365" s="483">
        <v>8865.1086024429005</v>
      </c>
      <c r="I2365" s="483">
        <v>1045.3859548477201</v>
      </c>
      <c r="J2365" s="483">
        <v>0</v>
      </c>
      <c r="K2365" s="484">
        <f t="shared" si="54"/>
        <v>53814.111693050923</v>
      </c>
      <c r="L2365" s="483" t="s">
        <v>40</v>
      </c>
      <c r="M2365" s="50"/>
      <c r="N2365" s="50"/>
      <c r="O2365" s="384"/>
      <c r="P2365" s="9"/>
      <c r="Q2365" s="34"/>
      <c r="R2365" s="5"/>
      <c r="S2365" s="35"/>
    </row>
    <row r="2366" spans="1:19" ht="30" customHeight="1" x14ac:dyDescent="0.35">
      <c r="A2366" s="481" t="s">
        <v>1101</v>
      </c>
      <c r="B2366" s="1326" t="s">
        <v>1102</v>
      </c>
      <c r="C2366" s="1327"/>
      <c r="D2366" s="1328"/>
      <c r="E2366" s="482">
        <v>1</v>
      </c>
      <c r="F2366" s="483" t="s">
        <v>40</v>
      </c>
      <c r="G2366" s="483">
        <v>0</v>
      </c>
      <c r="H2366" s="483">
        <v>0</v>
      </c>
      <c r="I2366" s="483">
        <v>0</v>
      </c>
      <c r="J2366" s="483">
        <v>1404168.8810688001</v>
      </c>
      <c r="K2366" s="484">
        <f t="shared" si="54"/>
        <v>1404168.8810688001</v>
      </c>
      <c r="L2366" s="483" t="s">
        <v>40</v>
      </c>
      <c r="M2366" s="50"/>
      <c r="N2366" s="50"/>
      <c r="O2366" s="384"/>
      <c r="P2366" s="9"/>
      <c r="Q2366" s="34"/>
      <c r="R2366" s="5"/>
      <c r="S2366" s="35"/>
    </row>
    <row r="2367" spans="1:19" ht="30" customHeight="1" x14ac:dyDescent="0.35">
      <c r="A2367" s="481" t="s">
        <v>126</v>
      </c>
      <c r="B2367" s="1326" t="s">
        <v>127</v>
      </c>
      <c r="C2367" s="1327"/>
      <c r="D2367" s="1328"/>
      <c r="E2367" s="482">
        <v>951.75</v>
      </c>
      <c r="F2367" s="483" t="s">
        <v>28</v>
      </c>
      <c r="G2367" s="483">
        <v>491953.78604553401</v>
      </c>
      <c r="H2367" s="483">
        <v>52685.657083901096</v>
      </c>
      <c r="I2367" s="483">
        <v>70253.442971062803</v>
      </c>
      <c r="J2367" s="483">
        <v>0</v>
      </c>
      <c r="K2367" s="484">
        <f t="shared" si="54"/>
        <v>614892.88610049791</v>
      </c>
      <c r="L2367" s="483" t="s">
        <v>28</v>
      </c>
      <c r="M2367" s="50"/>
      <c r="N2367" s="50"/>
      <c r="O2367" s="5"/>
      <c r="P2367" s="9"/>
      <c r="Q2367" s="34"/>
      <c r="R2367" s="5"/>
      <c r="S2367" s="35"/>
    </row>
    <row r="2368" spans="1:19" ht="30" customHeight="1" x14ac:dyDescent="0.35">
      <c r="A2368" s="481" t="s">
        <v>128</v>
      </c>
      <c r="B2368" s="1326" t="s">
        <v>129</v>
      </c>
      <c r="C2368" s="1327"/>
      <c r="D2368" s="1328"/>
      <c r="E2368" s="482">
        <v>42460.28</v>
      </c>
      <c r="F2368" s="483" t="s">
        <v>108</v>
      </c>
      <c r="G2368" s="483">
        <v>500928.49816027802</v>
      </c>
      <c r="H2368" s="483">
        <v>359463.70250062499</v>
      </c>
      <c r="I2368" s="483">
        <v>2058.9010305740198</v>
      </c>
      <c r="J2368" s="483">
        <v>0</v>
      </c>
      <c r="K2368" s="484">
        <f t="shared" si="54"/>
        <v>862451.101691477</v>
      </c>
      <c r="L2368" s="483" t="s">
        <v>108</v>
      </c>
      <c r="M2368" s="50"/>
      <c r="N2368" s="50"/>
      <c r="O2368" s="5"/>
      <c r="P2368" s="9"/>
      <c r="Q2368" s="34"/>
      <c r="R2368" s="5"/>
      <c r="S2368" s="35"/>
    </row>
    <row r="2369" spans="1:23" ht="30" customHeight="1" x14ac:dyDescent="0.35">
      <c r="A2369" s="481" t="s">
        <v>130</v>
      </c>
      <c r="B2369" s="1326" t="s">
        <v>131</v>
      </c>
      <c r="C2369" s="1327"/>
      <c r="D2369" s="1328"/>
      <c r="E2369" s="482">
        <v>11</v>
      </c>
      <c r="F2369" s="483" t="s">
        <v>41</v>
      </c>
      <c r="G2369" s="483">
        <v>42616.253842059101</v>
      </c>
      <c r="H2369" s="483">
        <v>7144.9422566005196</v>
      </c>
      <c r="I2369" s="483">
        <v>1765.87275559972</v>
      </c>
      <c r="J2369" s="699">
        <v>0</v>
      </c>
      <c r="K2369" s="956">
        <f t="shared" si="54"/>
        <v>51527.068854259342</v>
      </c>
      <c r="L2369" s="699" t="s">
        <v>41</v>
      </c>
      <c r="M2369" s="50"/>
      <c r="N2369" s="50"/>
      <c r="O2369" s="5"/>
      <c r="P2369" s="9"/>
      <c r="Q2369" s="34"/>
      <c r="R2369" s="5"/>
      <c r="S2369" s="35"/>
    </row>
    <row r="2370" spans="1:23" ht="30" customHeight="1" x14ac:dyDescent="0.35">
      <c r="A2370" s="1377" t="s">
        <v>2727</v>
      </c>
      <c r="B2370" s="1378"/>
      <c r="C2370" s="1378"/>
      <c r="D2370" s="1378"/>
      <c r="E2370" s="485"/>
      <c r="F2370" s="485"/>
      <c r="G2370" s="485"/>
      <c r="H2370" s="485"/>
      <c r="I2370" s="957"/>
      <c r="J2370" s="426" t="s">
        <v>223</v>
      </c>
      <c r="K2370" s="958">
        <f>SUM(K2361:K2369)</f>
        <v>3853780.643650556</v>
      </c>
      <c r="L2370" s="959" t="s">
        <v>2428</v>
      </c>
      <c r="M2370" s="50"/>
      <c r="N2370" s="50"/>
      <c r="O2370" s="539"/>
      <c r="P2370" s="9"/>
      <c r="Q2370" s="34"/>
      <c r="R2370" s="5"/>
      <c r="S2370" s="35"/>
    </row>
    <row r="2371" spans="1:23" ht="30" customHeight="1" thickBot="1" x14ac:dyDescent="0.4">
      <c r="A2371" s="1379"/>
      <c r="B2371" s="1379"/>
      <c r="C2371" s="1379"/>
      <c r="D2371" s="1379"/>
      <c r="E2371" s="488"/>
      <c r="F2371" s="441"/>
      <c r="G2371" s="1387"/>
      <c r="H2371" s="1388"/>
      <c r="I2371" s="960"/>
      <c r="J2371" s="706" t="s">
        <v>37</v>
      </c>
      <c r="K2371" s="452">
        <f>K2370/H2359</f>
        <v>77.075612873011124</v>
      </c>
      <c r="L2371" s="450" t="s">
        <v>1099</v>
      </c>
      <c r="M2371" s="96"/>
      <c r="N2371" s="97"/>
      <c r="O2371" s="491"/>
      <c r="T2371" s="10"/>
      <c r="U2371" s="10"/>
    </row>
    <row r="2372" spans="1:23" ht="30" customHeight="1" thickBot="1" x14ac:dyDescent="0.4">
      <c r="A2372" s="1183"/>
      <c r="B2372" s="1183"/>
      <c r="C2372" s="1183"/>
      <c r="D2372" s="1183"/>
      <c r="E2372" s="488"/>
      <c r="F2372" s="441"/>
      <c r="G2372" s="1191" t="s">
        <v>3000</v>
      </c>
      <c r="H2372" s="1192"/>
      <c r="I2372" s="1193"/>
      <c r="J2372" s="570">
        <v>1.0438745311870332</v>
      </c>
      <c r="K2372" s="1184">
        <f>+K2371*J2372</f>
        <v>80.457269253767748</v>
      </c>
      <c r="L2372" s="486" t="s">
        <v>1099</v>
      </c>
      <c r="M2372" s="50"/>
      <c r="N2372" s="50"/>
      <c r="O2372" s="5"/>
      <c r="P2372" s="9"/>
      <c r="Q2372" s="34"/>
      <c r="R2372" s="5"/>
      <c r="S2372" s="35"/>
    </row>
    <row r="2373" spans="1:23" ht="30" customHeight="1" thickBot="1" x14ac:dyDescent="0.4">
      <c r="A2373" s="1199"/>
      <c r="B2373" s="1200"/>
      <c r="C2373" s="1200"/>
      <c r="D2373" s="1200"/>
      <c r="E2373" s="1200"/>
      <c r="F2373" s="1200"/>
      <c r="G2373" s="1200"/>
      <c r="H2373" s="1200"/>
      <c r="I2373" s="1200"/>
      <c r="J2373" s="1200"/>
      <c r="K2373" s="1200"/>
      <c r="L2373" s="1201"/>
      <c r="M2373" s="50"/>
      <c r="N2373" s="50"/>
      <c r="O2373" s="5"/>
      <c r="P2373" s="9"/>
      <c r="Q2373" s="34"/>
      <c r="R2373" s="5"/>
      <c r="S2373" s="35"/>
    </row>
    <row r="2374" spans="1:23" ht="30" customHeight="1" x14ac:dyDescent="0.35">
      <c r="A2374" s="388" t="s">
        <v>1</v>
      </c>
      <c r="B2374" s="389">
        <v>4112</v>
      </c>
      <c r="C2374" s="1205" t="s">
        <v>1103</v>
      </c>
      <c r="D2374" s="1206"/>
      <c r="E2374" s="392" t="s">
        <v>3</v>
      </c>
      <c r="F2374" s="393" t="s">
        <v>1099</v>
      </c>
      <c r="G2374" s="520" t="s">
        <v>2</v>
      </c>
      <c r="H2374" s="132">
        <v>150000</v>
      </c>
      <c r="I2374" s="392" t="s">
        <v>5</v>
      </c>
      <c r="J2374" s="1207" t="s">
        <v>1100</v>
      </c>
      <c r="K2374" s="1207"/>
      <c r="L2374" s="1208"/>
      <c r="M2374" s="97"/>
      <c r="N2374" s="50"/>
      <c r="O2374" s="5"/>
      <c r="P2374" s="9"/>
      <c r="Q2374" s="34"/>
      <c r="R2374" s="5"/>
      <c r="S2374" s="35"/>
    </row>
    <row r="2375" spans="1:23" ht="30" customHeight="1" x14ac:dyDescent="0.35">
      <c r="A2375" s="474" t="s">
        <v>6</v>
      </c>
      <c r="B2375" s="1334" t="s">
        <v>7</v>
      </c>
      <c r="C2375" s="1335"/>
      <c r="D2375" s="1336"/>
      <c r="E2375" s="475" t="s">
        <v>8</v>
      </c>
      <c r="F2375" s="476" t="s">
        <v>9</v>
      </c>
      <c r="G2375" s="477" t="s">
        <v>10</v>
      </c>
      <c r="H2375" s="478" t="s">
        <v>11</v>
      </c>
      <c r="I2375" s="478" t="s">
        <v>12</v>
      </c>
      <c r="J2375" s="478" t="s">
        <v>2774</v>
      </c>
      <c r="K2375" s="474" t="s">
        <v>13</v>
      </c>
      <c r="L2375" s="480" t="s">
        <v>39</v>
      </c>
      <c r="M2375" s="97"/>
      <c r="N2375" s="50"/>
      <c r="O2375" s="5"/>
      <c r="P2375" s="9"/>
      <c r="Q2375" s="34"/>
      <c r="R2375" s="5"/>
      <c r="S2375" s="35"/>
    </row>
    <row r="2376" spans="1:23" ht="30" customHeight="1" x14ac:dyDescent="0.35">
      <c r="A2376" s="481" t="s">
        <v>114</v>
      </c>
      <c r="B2376" s="1326" t="s">
        <v>115</v>
      </c>
      <c r="C2376" s="1327"/>
      <c r="D2376" s="1328"/>
      <c r="E2376" s="482">
        <v>12252</v>
      </c>
      <c r="F2376" s="483" t="s">
        <v>16</v>
      </c>
      <c r="G2376" s="483">
        <v>330501.84689049103</v>
      </c>
      <c r="H2376" s="483">
        <v>25189.351729126902</v>
      </c>
      <c r="I2376" s="483">
        <v>35422.598936530303</v>
      </c>
      <c r="J2376" s="483">
        <v>0</v>
      </c>
      <c r="K2376" s="484">
        <f>+G2376+H2376+I2376+J2376</f>
        <v>391113.7975561482</v>
      </c>
      <c r="L2376" s="483" t="s">
        <v>16</v>
      </c>
      <c r="M2376" s="50"/>
      <c r="O2376" s="5"/>
      <c r="P2376" s="9"/>
      <c r="Q2376" s="34"/>
      <c r="R2376" s="5"/>
      <c r="S2376" s="35"/>
    </row>
    <row r="2377" spans="1:23" ht="30" customHeight="1" x14ac:dyDescent="0.35">
      <c r="A2377" s="481" t="s">
        <v>116</v>
      </c>
      <c r="B2377" s="1326" t="s">
        <v>117</v>
      </c>
      <c r="C2377" s="1327"/>
      <c r="D2377" s="1328"/>
      <c r="E2377" s="482">
        <v>358</v>
      </c>
      <c r="F2377" s="483" t="s">
        <v>16</v>
      </c>
      <c r="G2377" s="483">
        <v>180032.14028268401</v>
      </c>
      <c r="H2377" s="483">
        <v>185609.309031796</v>
      </c>
      <c r="I2377" s="483">
        <v>7626.7748361671802</v>
      </c>
      <c r="J2377" s="483">
        <v>0</v>
      </c>
      <c r="K2377" s="484">
        <f t="shared" ref="K2377:K2384" si="55">+G2377+H2377+I2377+J2377</f>
        <v>373268.22415064718</v>
      </c>
      <c r="L2377" s="483" t="s">
        <v>16</v>
      </c>
      <c r="M2377" s="50"/>
      <c r="N2377" s="50"/>
      <c r="O2377" s="5"/>
      <c r="P2377" s="9"/>
      <c r="Q2377" s="34"/>
      <c r="R2377" s="5"/>
      <c r="S2377" s="35"/>
    </row>
    <row r="2378" spans="1:23" ht="30" customHeight="1" x14ac:dyDescent="0.35">
      <c r="A2378" s="481" t="s">
        <v>118</v>
      </c>
      <c r="B2378" s="1326" t="s">
        <v>119</v>
      </c>
      <c r="C2378" s="1327"/>
      <c r="D2378" s="1328"/>
      <c r="E2378" s="482">
        <v>2797</v>
      </c>
      <c r="F2378" s="483" t="s">
        <v>28</v>
      </c>
      <c r="G2378" s="483">
        <v>177419.60546046801</v>
      </c>
      <c r="H2378" s="483">
        <v>63299.188732404997</v>
      </c>
      <c r="I2378" s="483">
        <v>0</v>
      </c>
      <c r="J2378" s="483">
        <v>0</v>
      </c>
      <c r="K2378" s="484">
        <f t="shared" si="55"/>
        <v>240718.794192873</v>
      </c>
      <c r="L2378" s="483" t="s">
        <v>28</v>
      </c>
      <c r="M2378" s="50"/>
      <c r="N2378" s="50"/>
      <c r="O2378" s="5"/>
      <c r="P2378" s="9"/>
      <c r="Q2378" s="34"/>
      <c r="R2378" s="5"/>
      <c r="S2378" s="35"/>
    </row>
    <row r="2379" spans="1:23" ht="30" customHeight="1" x14ac:dyDescent="0.35">
      <c r="A2379" s="481" t="s">
        <v>120</v>
      </c>
      <c r="B2379" s="1326" t="s">
        <v>121</v>
      </c>
      <c r="C2379" s="1327"/>
      <c r="D2379" s="1328"/>
      <c r="E2379" s="482">
        <v>34696.18</v>
      </c>
      <c r="F2379" s="483" t="s">
        <v>28</v>
      </c>
      <c r="G2379" s="483">
        <v>691241.22586414404</v>
      </c>
      <c r="H2379" s="483">
        <v>518709.11442355497</v>
      </c>
      <c r="I2379" s="483">
        <v>0</v>
      </c>
      <c r="J2379" s="483">
        <v>0</v>
      </c>
      <c r="K2379" s="484">
        <f t="shared" si="55"/>
        <v>1209950.3402876989</v>
      </c>
      <c r="L2379" s="483" t="s">
        <v>28</v>
      </c>
      <c r="M2379" s="50"/>
      <c r="N2379" s="50"/>
      <c r="O2379" s="14"/>
    </row>
    <row r="2380" spans="1:23" ht="30" customHeight="1" x14ac:dyDescent="0.35">
      <c r="A2380" s="481" t="s">
        <v>122</v>
      </c>
      <c r="B2380" s="1326" t="s">
        <v>123</v>
      </c>
      <c r="C2380" s="1327"/>
      <c r="D2380" s="1328"/>
      <c r="E2380" s="482">
        <v>151</v>
      </c>
      <c r="F2380" s="483" t="s">
        <v>40</v>
      </c>
      <c r="G2380" s="483">
        <v>105415.04977255</v>
      </c>
      <c r="H2380" s="483">
        <v>21285.6234983063</v>
      </c>
      <c r="I2380" s="483">
        <v>2510.0303722364001</v>
      </c>
      <c r="J2380" s="483">
        <v>0</v>
      </c>
      <c r="K2380" s="484">
        <f t="shared" si="55"/>
        <v>129210.70364309271</v>
      </c>
      <c r="L2380" s="483" t="s">
        <v>40</v>
      </c>
      <c r="M2380" s="50"/>
      <c r="N2380" s="50"/>
      <c r="O2380" s="572"/>
      <c r="P2380" s="384"/>
      <c r="Q2380" s="396"/>
      <c r="R2380" s="396"/>
      <c r="S2380" s="396"/>
      <c r="T2380" s="396"/>
      <c r="U2380" s="396"/>
    </row>
    <row r="2381" spans="1:23" ht="30" customHeight="1" x14ac:dyDescent="0.35">
      <c r="A2381" s="481" t="s">
        <v>1101</v>
      </c>
      <c r="B2381" s="1326" t="s">
        <v>1102</v>
      </c>
      <c r="C2381" s="1327"/>
      <c r="D2381" s="1328"/>
      <c r="E2381" s="482">
        <v>1</v>
      </c>
      <c r="F2381" s="483" t="s">
        <v>40</v>
      </c>
      <c r="G2381" s="483">
        <v>0</v>
      </c>
      <c r="H2381" s="483">
        <v>0</v>
      </c>
      <c r="I2381" s="483">
        <v>0</v>
      </c>
      <c r="J2381" s="483">
        <v>2967902.4077136</v>
      </c>
      <c r="K2381" s="484">
        <f t="shared" si="55"/>
        <v>2967902.4077136</v>
      </c>
      <c r="L2381" s="483" t="s">
        <v>40</v>
      </c>
      <c r="M2381" s="50"/>
      <c r="N2381" s="50"/>
    </row>
    <row r="2382" spans="1:23" ht="30" customHeight="1" x14ac:dyDescent="0.35">
      <c r="A2382" s="481" t="s">
        <v>126</v>
      </c>
      <c r="B2382" s="1326" t="s">
        <v>127</v>
      </c>
      <c r="C2382" s="1327"/>
      <c r="D2382" s="1328"/>
      <c r="E2382" s="482">
        <v>1571.76</v>
      </c>
      <c r="F2382" s="483" t="s">
        <v>28</v>
      </c>
      <c r="G2382" s="483">
        <v>813867.24801163399</v>
      </c>
      <c r="H2382" s="483">
        <v>87160.891849687803</v>
      </c>
      <c r="I2382" s="483">
        <v>116224.283491761</v>
      </c>
      <c r="J2382" s="483">
        <v>0</v>
      </c>
      <c r="K2382" s="484">
        <f t="shared" si="55"/>
        <v>1017252.4233530827</v>
      </c>
      <c r="L2382" s="483" t="s">
        <v>28</v>
      </c>
      <c r="M2382" s="50"/>
      <c r="N2382" s="50"/>
      <c r="O2382" s="396"/>
      <c r="V2382" s="396"/>
      <c r="W2382" s="396"/>
    </row>
    <row r="2383" spans="1:23" ht="30" customHeight="1" x14ac:dyDescent="0.35">
      <c r="A2383" s="481" t="s">
        <v>128</v>
      </c>
      <c r="B2383" s="1326" t="s">
        <v>129</v>
      </c>
      <c r="C2383" s="1327"/>
      <c r="D2383" s="1328"/>
      <c r="E2383" s="482">
        <v>115800.75</v>
      </c>
      <c r="F2383" s="483" t="s">
        <v>108</v>
      </c>
      <c r="G2383" s="483">
        <v>1368579.95887837</v>
      </c>
      <c r="H2383" s="483">
        <v>982085.90845466999</v>
      </c>
      <c r="I2383" s="483">
        <v>5625.0955936949704</v>
      </c>
      <c r="J2383" s="483">
        <v>0</v>
      </c>
      <c r="K2383" s="484">
        <f t="shared" si="55"/>
        <v>2356290.9629267352</v>
      </c>
      <c r="L2383" s="483" t="s">
        <v>108</v>
      </c>
      <c r="M2383" s="50"/>
      <c r="N2383" s="50"/>
      <c r="T2383" s="53"/>
      <c r="U2383" s="53"/>
    </row>
    <row r="2384" spans="1:23" ht="30" customHeight="1" x14ac:dyDescent="0.35">
      <c r="A2384" s="481" t="s">
        <v>130</v>
      </c>
      <c r="B2384" s="1326" t="s">
        <v>131</v>
      </c>
      <c r="C2384" s="1327"/>
      <c r="D2384" s="1328"/>
      <c r="E2384" s="482">
        <v>30</v>
      </c>
      <c r="F2384" s="483" t="s">
        <v>41</v>
      </c>
      <c r="G2384" s="483">
        <v>116431.30309605801</v>
      </c>
      <c r="H2384" s="483">
        <v>19520.602175995798</v>
      </c>
      <c r="I2384" s="483">
        <v>4824.5175842600202</v>
      </c>
      <c r="J2384" s="483">
        <v>0</v>
      </c>
      <c r="K2384" s="484">
        <f t="shared" si="55"/>
        <v>140776.42285631385</v>
      </c>
      <c r="L2384" s="483" t="s">
        <v>41</v>
      </c>
      <c r="M2384" s="50"/>
      <c r="N2384" s="50"/>
      <c r="T2384" s="10"/>
      <c r="U2384" s="10"/>
    </row>
    <row r="2385" spans="1:21" ht="30" customHeight="1" x14ac:dyDescent="0.35">
      <c r="A2385" s="1377" t="s">
        <v>2727</v>
      </c>
      <c r="B2385" s="1378"/>
      <c r="C2385" s="1378"/>
      <c r="D2385" s="1378"/>
      <c r="E2385" s="485"/>
      <c r="F2385" s="485"/>
      <c r="G2385" s="485"/>
      <c r="H2385" s="485"/>
      <c r="I2385" s="485"/>
      <c r="J2385" s="426" t="s">
        <v>223</v>
      </c>
      <c r="K2385" s="487">
        <f>SUM(K2376:K2384)</f>
        <v>8826484.0766801927</v>
      </c>
      <c r="L2385" s="486" t="s">
        <v>2428</v>
      </c>
      <c r="M2385" s="50"/>
      <c r="N2385" s="50"/>
      <c r="T2385" s="10"/>
      <c r="U2385" s="10"/>
    </row>
    <row r="2386" spans="1:21" ht="30" customHeight="1" thickBot="1" x14ac:dyDescent="0.4">
      <c r="A2386" s="1379"/>
      <c r="B2386" s="1379"/>
      <c r="C2386" s="1379"/>
      <c r="D2386" s="1379"/>
      <c r="E2386" s="488"/>
      <c r="F2386" s="441"/>
      <c r="G2386" s="1387"/>
      <c r="H2386" s="1388"/>
      <c r="I2386" s="441"/>
      <c r="J2386" s="489" t="s">
        <v>37</v>
      </c>
      <c r="K2386" s="490">
        <f>K2385/H2374</f>
        <v>58.843227177867952</v>
      </c>
      <c r="L2386" s="441" t="s">
        <v>1099</v>
      </c>
      <c r="M2386" s="96"/>
      <c r="N2386" s="97"/>
      <c r="O2386" s="491"/>
      <c r="T2386" s="10"/>
      <c r="U2386" s="10"/>
    </row>
    <row r="2387" spans="1:21" ht="30" customHeight="1" thickBot="1" x14ac:dyDescent="0.4">
      <c r="A2387" s="1183"/>
      <c r="B2387" s="1183"/>
      <c r="C2387" s="1183"/>
      <c r="D2387" s="1183"/>
      <c r="E2387" s="488"/>
      <c r="F2387" s="441"/>
      <c r="G2387" s="1191" t="s">
        <v>3000</v>
      </c>
      <c r="H2387" s="1192"/>
      <c r="I2387" s="1193"/>
      <c r="J2387" s="570">
        <v>1.0438745311870332</v>
      </c>
      <c r="K2387" s="1184">
        <f>+K2386*J2387</f>
        <v>61.424946183829</v>
      </c>
      <c r="L2387" s="486" t="s">
        <v>1099</v>
      </c>
      <c r="M2387" s="50"/>
      <c r="N2387" s="50"/>
      <c r="T2387" s="10"/>
      <c r="U2387" s="10"/>
    </row>
    <row r="2388" spans="1:21" ht="30" customHeight="1" thickBot="1" x14ac:dyDescent="0.4">
      <c r="A2388" s="1199"/>
      <c r="B2388" s="1200"/>
      <c r="C2388" s="1200"/>
      <c r="D2388" s="1200"/>
      <c r="E2388" s="1200"/>
      <c r="F2388" s="1200"/>
      <c r="G2388" s="1200"/>
      <c r="H2388" s="1200"/>
      <c r="I2388" s="1200"/>
      <c r="J2388" s="1200"/>
      <c r="K2388" s="1200"/>
      <c r="L2388" s="1201"/>
      <c r="M2388" s="50"/>
      <c r="N2388" s="50"/>
      <c r="O2388" s="14"/>
    </row>
    <row r="2389" spans="1:21" ht="30" customHeight="1" x14ac:dyDescent="0.35">
      <c r="A2389" s="388" t="s">
        <v>1</v>
      </c>
      <c r="B2389" s="389">
        <v>4113</v>
      </c>
      <c r="C2389" s="1205" t="s">
        <v>1104</v>
      </c>
      <c r="D2389" s="1206"/>
      <c r="E2389" s="392" t="s">
        <v>3</v>
      </c>
      <c r="F2389" s="393" t="s">
        <v>1099</v>
      </c>
      <c r="G2389" s="520" t="s">
        <v>2</v>
      </c>
      <c r="H2389" s="132">
        <v>50000</v>
      </c>
      <c r="I2389" s="392" t="s">
        <v>5</v>
      </c>
      <c r="J2389" s="1207" t="s">
        <v>1100</v>
      </c>
      <c r="K2389" s="1207"/>
      <c r="L2389" s="1208"/>
      <c r="M2389" s="97"/>
      <c r="N2389" s="50"/>
      <c r="O2389" s="5"/>
      <c r="P2389" s="9"/>
      <c r="Q2389" s="34"/>
      <c r="R2389" s="5"/>
      <c r="S2389" s="35"/>
    </row>
    <row r="2390" spans="1:21" ht="30" customHeight="1" x14ac:dyDescent="0.35">
      <c r="A2390" s="474" t="s">
        <v>6</v>
      </c>
      <c r="B2390" s="1334" t="s">
        <v>7</v>
      </c>
      <c r="C2390" s="1335"/>
      <c r="D2390" s="1336"/>
      <c r="E2390" s="475" t="s">
        <v>8</v>
      </c>
      <c r="F2390" s="476" t="s">
        <v>9</v>
      </c>
      <c r="G2390" s="477" t="s">
        <v>10</v>
      </c>
      <c r="H2390" s="478" t="s">
        <v>11</v>
      </c>
      <c r="I2390" s="478" t="s">
        <v>12</v>
      </c>
      <c r="J2390" s="478" t="s">
        <v>2774</v>
      </c>
      <c r="K2390" s="474" t="s">
        <v>13</v>
      </c>
      <c r="L2390" s="480" t="s">
        <v>39</v>
      </c>
      <c r="M2390" s="97"/>
      <c r="N2390" s="50"/>
      <c r="O2390" s="14"/>
      <c r="T2390" s="53"/>
      <c r="U2390" s="53"/>
    </row>
    <row r="2391" spans="1:21" ht="30" customHeight="1" x14ac:dyDescent="0.35">
      <c r="A2391" s="481" t="s">
        <v>1105</v>
      </c>
      <c r="B2391" s="1326" t="s">
        <v>1106</v>
      </c>
      <c r="C2391" s="1327"/>
      <c r="D2391" s="1328"/>
      <c r="E2391" s="482">
        <v>7796.07</v>
      </c>
      <c r="F2391" s="483" t="s">
        <v>16</v>
      </c>
      <c r="G2391" s="483">
        <v>6575415.1758149704</v>
      </c>
      <c r="H2391" s="483">
        <v>19659530.093217298</v>
      </c>
      <c r="I2391" s="483">
        <v>22500.0377045036</v>
      </c>
      <c r="J2391" s="483">
        <v>0</v>
      </c>
      <c r="K2391" s="484">
        <f>+J2391+I2391+H2391+G2391</f>
        <v>26257445.306736775</v>
      </c>
      <c r="L2391" s="483" t="s">
        <v>16</v>
      </c>
      <c r="M2391" s="50"/>
      <c r="N2391" s="50"/>
      <c r="T2391" s="10"/>
      <c r="U2391" s="10"/>
    </row>
    <row r="2392" spans="1:21" ht="30" customHeight="1" x14ac:dyDescent="0.35">
      <c r="A2392" s="481" t="s">
        <v>1107</v>
      </c>
      <c r="B2392" s="1326" t="s">
        <v>1108</v>
      </c>
      <c r="C2392" s="1327"/>
      <c r="D2392" s="1328"/>
      <c r="E2392" s="482">
        <v>150</v>
      </c>
      <c r="F2392" s="483" t="s">
        <v>16</v>
      </c>
      <c r="G2392" s="483">
        <v>72615.097162434002</v>
      </c>
      <c r="H2392" s="483">
        <v>48818.384750092198</v>
      </c>
      <c r="I2392" s="483">
        <v>3189.9453257119899</v>
      </c>
      <c r="J2392" s="483">
        <v>0</v>
      </c>
      <c r="K2392" s="484">
        <f t="shared" ref="K2392:K2397" si="56">+J2392+I2392+H2392+G2392</f>
        <v>124623.42723823819</v>
      </c>
      <c r="L2392" s="483" t="s">
        <v>16</v>
      </c>
      <c r="M2392" s="50"/>
      <c r="N2392" s="50"/>
      <c r="O2392" s="509"/>
      <c r="P2392" s="9"/>
      <c r="Q2392" s="34"/>
      <c r="R2392" s="5"/>
      <c r="S2392" s="35"/>
    </row>
    <row r="2393" spans="1:21" ht="30" customHeight="1" x14ac:dyDescent="0.35">
      <c r="A2393" s="481" t="s">
        <v>1109</v>
      </c>
      <c r="B2393" s="1326" t="s">
        <v>1110</v>
      </c>
      <c r="C2393" s="1327"/>
      <c r="D2393" s="1328"/>
      <c r="E2393" s="482">
        <v>1100</v>
      </c>
      <c r="F2393" s="483" t="s">
        <v>28</v>
      </c>
      <c r="G2393" s="483">
        <v>4343741.8647273798</v>
      </c>
      <c r="H2393" s="483">
        <v>1699642.41577253</v>
      </c>
      <c r="I2393" s="483">
        <v>262042.670834077</v>
      </c>
      <c r="J2393" s="483">
        <v>0</v>
      </c>
      <c r="K2393" s="484">
        <f t="shared" si="56"/>
        <v>6305426.9513339866</v>
      </c>
      <c r="L2393" s="483" t="s">
        <v>28</v>
      </c>
      <c r="M2393" s="50"/>
      <c r="N2393" s="50"/>
      <c r="O2393" s="509"/>
      <c r="P2393" s="9"/>
      <c r="Q2393" s="34"/>
      <c r="R2393" s="5"/>
      <c r="S2393" s="35"/>
    </row>
    <row r="2394" spans="1:21" ht="30" customHeight="1" x14ac:dyDescent="0.35">
      <c r="A2394" s="481" t="s">
        <v>1111</v>
      </c>
      <c r="B2394" s="1326" t="s">
        <v>1112</v>
      </c>
      <c r="C2394" s="1327"/>
      <c r="D2394" s="1328"/>
      <c r="E2394" s="482">
        <v>12018.58</v>
      </c>
      <c r="F2394" s="483" t="s">
        <v>28</v>
      </c>
      <c r="G2394" s="483">
        <v>181243.05171905801</v>
      </c>
      <c r="H2394" s="483">
        <v>141601.395873178</v>
      </c>
      <c r="I2394" s="483">
        <v>0</v>
      </c>
      <c r="J2394" s="483">
        <v>0</v>
      </c>
      <c r="K2394" s="484">
        <f t="shared" si="56"/>
        <v>322844.44759223599</v>
      </c>
      <c r="L2394" s="483" t="s">
        <v>28</v>
      </c>
      <c r="M2394" s="50"/>
      <c r="N2394" s="50"/>
      <c r="P2394" s="5"/>
      <c r="Q2394" s="35"/>
    </row>
    <row r="2395" spans="1:21" ht="30" customHeight="1" x14ac:dyDescent="0.35">
      <c r="A2395" s="481" t="s">
        <v>1113</v>
      </c>
      <c r="B2395" s="1326" t="s">
        <v>1114</v>
      </c>
      <c r="C2395" s="1327"/>
      <c r="D2395" s="1328"/>
      <c r="E2395" s="482">
        <v>60</v>
      </c>
      <c r="F2395" s="483" t="s">
        <v>40</v>
      </c>
      <c r="G2395" s="483">
        <v>41812.968700724101</v>
      </c>
      <c r="H2395" s="483">
        <v>8814.7989275617092</v>
      </c>
      <c r="I2395" s="483">
        <v>995.60567128353898</v>
      </c>
      <c r="J2395" s="483">
        <v>0</v>
      </c>
      <c r="K2395" s="484">
        <f t="shared" si="56"/>
        <v>51623.37329956935</v>
      </c>
      <c r="L2395" s="483" t="s">
        <v>40</v>
      </c>
      <c r="M2395" s="50"/>
      <c r="N2395" s="50"/>
      <c r="P2395" s="5"/>
      <c r="Q2395" s="35"/>
    </row>
    <row r="2396" spans="1:21" ht="30" customHeight="1" x14ac:dyDescent="0.35">
      <c r="A2396" s="481" t="s">
        <v>1115</v>
      </c>
      <c r="B2396" s="1326" t="s">
        <v>1116</v>
      </c>
      <c r="C2396" s="1327"/>
      <c r="D2396" s="1328"/>
      <c r="E2396" s="482">
        <v>1</v>
      </c>
      <c r="F2396" s="483" t="s">
        <v>40</v>
      </c>
      <c r="G2396" s="483">
        <v>10254.2288521315</v>
      </c>
      <c r="H2396" s="483">
        <v>1846.2893122585999</v>
      </c>
      <c r="I2396" s="483">
        <v>12.843864046498799</v>
      </c>
      <c r="J2396" s="483">
        <v>0</v>
      </c>
      <c r="K2396" s="484">
        <f t="shared" si="56"/>
        <v>12113.362028436599</v>
      </c>
      <c r="L2396" s="483" t="s">
        <v>40</v>
      </c>
      <c r="M2396" s="50"/>
      <c r="N2396" s="50"/>
      <c r="O2396" s="34"/>
      <c r="P2396" s="5"/>
      <c r="Q2396" s="35"/>
    </row>
    <row r="2397" spans="1:21" ht="30" customHeight="1" x14ac:dyDescent="0.35">
      <c r="A2397" s="481" t="s">
        <v>130</v>
      </c>
      <c r="B2397" s="1326" t="s">
        <v>131</v>
      </c>
      <c r="C2397" s="1327"/>
      <c r="D2397" s="1328"/>
      <c r="E2397" s="482">
        <v>1.5</v>
      </c>
      <c r="F2397" s="483" t="s">
        <v>41</v>
      </c>
      <c r="G2397" s="483">
        <v>5811.3073420989604</v>
      </c>
      <c r="H2397" s="483">
        <v>974.31030771825294</v>
      </c>
      <c r="I2397" s="483">
        <v>240.800830309053</v>
      </c>
      <c r="J2397" s="483">
        <v>0</v>
      </c>
      <c r="K2397" s="484">
        <f t="shared" si="56"/>
        <v>7026.4184801262663</v>
      </c>
      <c r="L2397" s="483" t="s">
        <v>28</v>
      </c>
      <c r="M2397" s="50"/>
      <c r="N2397" s="50"/>
      <c r="O2397" s="14"/>
      <c r="P2397" s="5"/>
      <c r="Q2397" s="35"/>
    </row>
    <row r="2398" spans="1:21" ht="30" customHeight="1" x14ac:dyDescent="0.35">
      <c r="A2398" s="1377" t="s">
        <v>2727</v>
      </c>
      <c r="B2398" s="1377"/>
      <c r="C2398" s="1377"/>
      <c r="D2398" s="1377"/>
      <c r="E2398" s="485"/>
      <c r="F2398" s="485"/>
      <c r="G2398" s="485"/>
      <c r="H2398" s="485"/>
      <c r="I2398" s="485"/>
      <c r="J2398" s="426" t="s">
        <v>223</v>
      </c>
      <c r="K2398" s="487">
        <f>SUM(K2391:K2397)</f>
        <v>33081103.286709368</v>
      </c>
      <c r="L2398" s="486" t="s">
        <v>2428</v>
      </c>
      <c r="M2398" s="50"/>
      <c r="N2398" s="50"/>
      <c r="O2398" s="34"/>
      <c r="P2398" s="5"/>
      <c r="Q2398" s="35"/>
    </row>
    <row r="2399" spans="1:21" ht="30" customHeight="1" thickBot="1" x14ac:dyDescent="0.4">
      <c r="A2399" s="1380"/>
      <c r="B2399" s="1380"/>
      <c r="C2399" s="1380"/>
      <c r="D2399" s="1380"/>
      <c r="E2399" s="488"/>
      <c r="F2399" s="441"/>
      <c r="G2399" s="1387"/>
      <c r="H2399" s="1388"/>
      <c r="I2399" s="441"/>
      <c r="J2399" s="489" t="s">
        <v>37</v>
      </c>
      <c r="K2399" s="490">
        <f>K2398/H2389</f>
        <v>661.62206573418734</v>
      </c>
      <c r="L2399" s="441" t="s">
        <v>1099</v>
      </c>
      <c r="M2399" s="96"/>
      <c r="N2399" s="97"/>
      <c r="O2399" s="491"/>
      <c r="T2399" s="10"/>
      <c r="U2399" s="10"/>
    </row>
    <row r="2400" spans="1:21" ht="30" customHeight="1" thickBot="1" x14ac:dyDescent="0.4">
      <c r="A2400" s="1183"/>
      <c r="B2400" s="1183"/>
      <c r="C2400" s="1183"/>
      <c r="D2400" s="1183"/>
      <c r="E2400" s="488"/>
      <c r="F2400" s="441"/>
      <c r="G2400" s="1191" t="s">
        <v>3000</v>
      </c>
      <c r="H2400" s="1192"/>
      <c r="I2400" s="1193"/>
      <c r="J2400" s="570">
        <v>1.0438745311870332</v>
      </c>
      <c r="K2400" s="1184">
        <f>+K2399*J2400</f>
        <v>690.65042369127127</v>
      </c>
      <c r="L2400" s="486" t="s">
        <v>1099</v>
      </c>
      <c r="M2400" s="50"/>
      <c r="N2400" s="50"/>
      <c r="O2400" s="34"/>
      <c r="P2400" s="5"/>
      <c r="Q2400" s="35"/>
    </row>
    <row r="2401" spans="1:21" ht="30" customHeight="1" thickBot="1" x14ac:dyDescent="0.4">
      <c r="A2401" s="1199"/>
      <c r="B2401" s="1200"/>
      <c r="C2401" s="1200"/>
      <c r="D2401" s="1200"/>
      <c r="E2401" s="1200"/>
      <c r="F2401" s="1200"/>
      <c r="G2401" s="1200"/>
      <c r="H2401" s="1200"/>
      <c r="I2401" s="1200"/>
      <c r="J2401" s="1200"/>
      <c r="K2401" s="1200"/>
      <c r="L2401" s="1201"/>
      <c r="M2401" s="50"/>
      <c r="N2401" s="50"/>
      <c r="O2401" s="34"/>
      <c r="P2401" s="5"/>
      <c r="Q2401" s="35"/>
    </row>
    <row r="2402" spans="1:21" ht="30" customHeight="1" x14ac:dyDescent="0.35">
      <c r="A2402" s="388" t="s">
        <v>1</v>
      </c>
      <c r="B2402" s="389">
        <v>4114</v>
      </c>
      <c r="C2402" s="1487" t="s">
        <v>1117</v>
      </c>
      <c r="D2402" s="1488"/>
      <c r="E2402" s="392" t="s">
        <v>3</v>
      </c>
      <c r="F2402" s="393" t="s">
        <v>113</v>
      </c>
      <c r="G2402" s="390" t="s">
        <v>38</v>
      </c>
      <c r="H2402" s="660">
        <v>7476.1428571428496</v>
      </c>
      <c r="I2402" s="392" t="s">
        <v>5</v>
      </c>
      <c r="J2402" s="1207" t="s">
        <v>2538</v>
      </c>
      <c r="K2402" s="1207"/>
      <c r="L2402" s="1208"/>
      <c r="M2402" s="97"/>
      <c r="N2402" s="50"/>
      <c r="O2402" s="34"/>
      <c r="P2402" s="5"/>
      <c r="Q2402" s="35"/>
    </row>
    <row r="2403" spans="1:21" ht="30" customHeight="1" x14ac:dyDescent="0.35">
      <c r="A2403" s="185" t="s">
        <v>177</v>
      </c>
      <c r="B2403" s="1272" t="s">
        <v>7</v>
      </c>
      <c r="C2403" s="1272"/>
      <c r="D2403" s="1272"/>
      <c r="E2403" s="397" t="s">
        <v>52</v>
      </c>
      <c r="F2403" s="185" t="s">
        <v>178</v>
      </c>
      <c r="G2403" s="1219" t="s">
        <v>54</v>
      </c>
      <c r="H2403" s="1220"/>
      <c r="I2403" s="1221" t="s">
        <v>179</v>
      </c>
      <c r="J2403" s="1222"/>
      <c r="K2403" s="1209" t="s">
        <v>180</v>
      </c>
      <c r="L2403" s="1210"/>
      <c r="M2403" s="50"/>
      <c r="N2403" s="50"/>
      <c r="O2403" s="34"/>
      <c r="P2403" s="5"/>
      <c r="Q2403" s="35"/>
    </row>
    <row r="2404" spans="1:21" ht="30" customHeight="1" x14ac:dyDescent="0.35">
      <c r="A2404" s="186">
        <v>84620</v>
      </c>
      <c r="B2404" s="1212" t="s">
        <v>2565</v>
      </c>
      <c r="C2404" s="1213"/>
      <c r="D2404" s="1214"/>
      <c r="E2404" s="214">
        <v>235388.23</v>
      </c>
      <c r="F2404" s="343">
        <v>8000</v>
      </c>
      <c r="G2404" s="551"/>
      <c r="H2404" s="186" t="s">
        <v>1118</v>
      </c>
      <c r="I2404" s="1332">
        <f>+'FY2024 MILCON Inflation Table'!F22</f>
        <v>0.95834826759383673</v>
      </c>
      <c r="J2404" s="1333"/>
      <c r="K2404" s="212">
        <f>+E2404/F2404*I2404</f>
        <v>28.197987804059952</v>
      </c>
      <c r="L2404" s="401" t="s">
        <v>113</v>
      </c>
      <c r="M2404" s="50"/>
      <c r="N2404" s="50"/>
      <c r="O2404" s="34"/>
      <c r="P2404" s="5"/>
      <c r="Q2404" s="35"/>
    </row>
    <row r="2405" spans="1:21" ht="30" customHeight="1" x14ac:dyDescent="0.35">
      <c r="A2405" s="186">
        <v>84620</v>
      </c>
      <c r="B2405" s="1212" t="s">
        <v>2566</v>
      </c>
      <c r="C2405" s="1213"/>
      <c r="D2405" s="1214"/>
      <c r="E2405" s="214">
        <v>122665.7</v>
      </c>
      <c r="F2405" s="343">
        <v>8000</v>
      </c>
      <c r="G2405" s="881"/>
      <c r="H2405" s="186" t="s">
        <v>1118</v>
      </c>
      <c r="I2405" s="1332">
        <f>+I2404</f>
        <v>0.95834826759383673</v>
      </c>
      <c r="J2405" s="1333"/>
      <c r="K2405" s="212">
        <f>+E2405/F2405*I2405</f>
        <v>14.694557636023163</v>
      </c>
      <c r="L2405" s="401" t="s">
        <v>113</v>
      </c>
      <c r="M2405" s="50"/>
      <c r="N2405" s="50"/>
      <c r="O2405" s="5"/>
      <c r="P2405" s="9"/>
      <c r="Q2405" s="34"/>
      <c r="R2405" s="5"/>
      <c r="S2405" s="35"/>
    </row>
    <row r="2406" spans="1:21" ht="30" customHeight="1" x14ac:dyDescent="0.35">
      <c r="A2406" s="448"/>
      <c r="B2406" s="609"/>
      <c r="C2406" s="610"/>
      <c r="D2406" s="611"/>
      <c r="E2406" s="566"/>
      <c r="F2406" s="459"/>
      <c r="G2406" s="961"/>
      <c r="H2406" s="962"/>
      <c r="I2406" s="398"/>
      <c r="J2406" s="595" t="s">
        <v>192</v>
      </c>
      <c r="K2406" s="212">
        <f>AVERAGE(K2404:K2405)</f>
        <v>21.446272720041556</v>
      </c>
      <c r="L2406" s="604"/>
      <c r="M2406" s="50"/>
      <c r="N2406" s="50"/>
      <c r="O2406" s="5"/>
      <c r="P2406" s="9"/>
      <c r="Q2406" s="34"/>
      <c r="R2406" s="5"/>
      <c r="S2406" s="35"/>
    </row>
    <row r="2407" spans="1:21" ht="30" customHeight="1" thickBot="1" x14ac:dyDescent="0.4">
      <c r="A2407" s="186"/>
      <c r="B2407" s="186"/>
      <c r="C2407" s="503"/>
      <c r="D2407" s="503"/>
      <c r="E2407" s="503"/>
      <c r="F2407" s="503"/>
      <c r="G2407" s="503"/>
      <c r="H2407" s="503"/>
      <c r="I2407" s="503"/>
      <c r="J2407" s="494" t="s">
        <v>37</v>
      </c>
      <c r="K2407" s="201">
        <f>+K2406</f>
        <v>21.446272720041556</v>
      </c>
      <c r="L2407" s="186" t="s">
        <v>113</v>
      </c>
      <c r="M2407" s="50"/>
      <c r="N2407" s="50"/>
      <c r="O2407" s="34"/>
      <c r="P2407" s="5"/>
      <c r="Q2407" s="35"/>
    </row>
    <row r="2408" spans="1:21" ht="30" customHeight="1" thickBot="1" x14ac:dyDescent="0.4">
      <c r="A2408" s="1199"/>
      <c r="B2408" s="1200"/>
      <c r="C2408" s="1200"/>
      <c r="D2408" s="1200"/>
      <c r="E2408" s="1200"/>
      <c r="F2408" s="1200"/>
      <c r="G2408" s="1200"/>
      <c r="H2408" s="1200"/>
      <c r="I2408" s="1200"/>
      <c r="J2408" s="1200"/>
      <c r="K2408" s="1200"/>
      <c r="L2408" s="1201"/>
      <c r="N2408" s="50"/>
      <c r="O2408" s="34"/>
      <c r="P2408" s="5"/>
      <c r="Q2408" s="35"/>
    </row>
    <row r="2409" spans="1:21" ht="30" customHeight="1" x14ac:dyDescent="0.35">
      <c r="A2409" s="388" t="s">
        <v>1</v>
      </c>
      <c r="B2409" s="389">
        <v>4121</v>
      </c>
      <c r="C2409" s="1290" t="s">
        <v>1120</v>
      </c>
      <c r="D2409" s="1291"/>
      <c r="E2409" s="392" t="s">
        <v>3</v>
      </c>
      <c r="F2409" s="393" t="s">
        <v>113</v>
      </c>
      <c r="G2409" s="390" t="s">
        <v>38</v>
      </c>
      <c r="H2409" s="135">
        <v>34650</v>
      </c>
      <c r="I2409" s="392" t="s">
        <v>5</v>
      </c>
      <c r="J2409" s="1207" t="s">
        <v>2571</v>
      </c>
      <c r="K2409" s="1207"/>
      <c r="L2409" s="1208"/>
      <c r="M2409" s="96"/>
      <c r="N2409" s="50"/>
      <c r="O2409" s="5"/>
      <c r="P2409" s="9"/>
      <c r="Q2409" s="34"/>
      <c r="R2409" s="5"/>
      <c r="S2409" s="35"/>
    </row>
    <row r="2410" spans="1:21" ht="30" customHeight="1" x14ac:dyDescent="0.35">
      <c r="A2410" s="185" t="s">
        <v>177</v>
      </c>
      <c r="B2410" s="1272" t="s">
        <v>7</v>
      </c>
      <c r="C2410" s="1272"/>
      <c r="D2410" s="1272"/>
      <c r="E2410" s="397" t="s">
        <v>52</v>
      </c>
      <c r="F2410" s="185" t="s">
        <v>178</v>
      </c>
      <c r="G2410" s="1219" t="s">
        <v>54</v>
      </c>
      <c r="H2410" s="1220"/>
      <c r="I2410" s="1221" t="s">
        <v>179</v>
      </c>
      <c r="J2410" s="1222"/>
      <c r="K2410" s="1209" t="s">
        <v>180</v>
      </c>
      <c r="L2410" s="1210"/>
      <c r="M2410" s="96"/>
      <c r="N2410" s="50"/>
      <c r="P2410" s="34"/>
      <c r="Q2410" s="5"/>
      <c r="R2410" s="35"/>
    </row>
    <row r="2411" spans="1:21" ht="30" customHeight="1" x14ac:dyDescent="0.35">
      <c r="A2411" s="188">
        <v>84620</v>
      </c>
      <c r="B2411" s="1212" t="s">
        <v>2568</v>
      </c>
      <c r="C2411" s="1213"/>
      <c r="D2411" s="1214"/>
      <c r="E2411" s="963">
        <v>161364.15</v>
      </c>
      <c r="F2411" s="964">
        <v>12000</v>
      </c>
      <c r="G2411" s="965"/>
      <c r="H2411" s="186" t="s">
        <v>1118</v>
      </c>
      <c r="I2411" s="1332">
        <f>+'FY2024 MILCON Inflation Table'!F22</f>
        <v>0.95834826759383673</v>
      </c>
      <c r="J2411" s="1333"/>
      <c r="K2411" s="966">
        <f>+E2411/F2411*I2411</f>
        <v>12.886921133687666</v>
      </c>
      <c r="L2411" s="186" t="s">
        <v>113</v>
      </c>
      <c r="M2411" s="50"/>
      <c r="N2411" s="50"/>
      <c r="T2411" s="10"/>
      <c r="U2411" s="10"/>
    </row>
    <row r="2412" spans="1:21" ht="30" customHeight="1" x14ac:dyDescent="0.35">
      <c r="A2412" s="188">
        <v>84620</v>
      </c>
      <c r="B2412" s="1212" t="s">
        <v>2778</v>
      </c>
      <c r="C2412" s="1213"/>
      <c r="D2412" s="1214"/>
      <c r="E2412" s="967">
        <v>448953.63</v>
      </c>
      <c r="F2412" s="968">
        <v>20000</v>
      </c>
      <c r="G2412" s="969"/>
      <c r="H2412" s="186" t="s">
        <v>1118</v>
      </c>
      <c r="I2412" s="1332">
        <f>+I2411</f>
        <v>0.95834826759383673</v>
      </c>
      <c r="J2412" s="1333"/>
      <c r="K2412" s="966">
        <f>+E2412/F2412*I2412</f>
        <v>21.512696677023222</v>
      </c>
      <c r="L2412" s="186" t="s">
        <v>113</v>
      </c>
      <c r="M2412" s="50"/>
      <c r="N2412" s="50"/>
      <c r="O2412" s="539"/>
      <c r="P2412" s="9"/>
      <c r="Q2412" s="34"/>
      <c r="R2412" s="5"/>
      <c r="S2412" s="35"/>
    </row>
    <row r="2413" spans="1:21" ht="30" customHeight="1" x14ac:dyDescent="0.35">
      <c r="A2413" s="188">
        <v>84610</v>
      </c>
      <c r="B2413" s="1212" t="s">
        <v>2567</v>
      </c>
      <c r="C2413" s="1213"/>
      <c r="D2413" s="1214"/>
      <c r="E2413" s="963">
        <v>255230</v>
      </c>
      <c r="F2413" s="964">
        <v>100000</v>
      </c>
      <c r="G2413" s="965"/>
      <c r="H2413" s="186" t="s">
        <v>1118</v>
      </c>
      <c r="I2413" s="1332">
        <f>+'FY2024 MILCON Inflation Table'!F21</f>
        <v>0.97847358121330719</v>
      </c>
      <c r="J2413" s="1333"/>
      <c r="K2413" s="966">
        <f>+E2413/F2413*I2413</f>
        <v>2.4973581213307239</v>
      </c>
      <c r="L2413" s="186" t="s">
        <v>113</v>
      </c>
      <c r="M2413" s="50"/>
      <c r="N2413" s="50"/>
      <c r="P2413" s="9"/>
      <c r="Q2413" s="34"/>
      <c r="R2413" s="5"/>
      <c r="S2413" s="35"/>
    </row>
    <row r="2414" spans="1:21" ht="30" customHeight="1" x14ac:dyDescent="0.35">
      <c r="A2414" s="186"/>
      <c r="B2414" s="1212"/>
      <c r="C2414" s="1213"/>
      <c r="D2414" s="1214"/>
      <c r="E2414" s="214"/>
      <c r="F2414" s="203"/>
      <c r="G2414" s="186"/>
      <c r="H2414" s="186"/>
      <c r="I2414" s="774"/>
      <c r="J2414" s="903" t="s">
        <v>192</v>
      </c>
      <c r="K2414" s="199">
        <f>AVERAGE(K2411:K2413)</f>
        <v>12.298991977347205</v>
      </c>
      <c r="L2414" s="186" t="s">
        <v>113</v>
      </c>
      <c r="M2414" s="96"/>
      <c r="N2414" s="50"/>
      <c r="P2414" s="34"/>
      <c r="Q2414" s="5"/>
      <c r="R2414" s="35"/>
    </row>
    <row r="2415" spans="1:21" ht="30" customHeight="1" thickBot="1" x14ac:dyDescent="0.4">
      <c r="A2415" s="186"/>
      <c r="B2415" s="1202"/>
      <c r="C2415" s="1203"/>
      <c r="D2415" s="1204"/>
      <c r="E2415" s="520"/>
      <c r="F2415" s="784"/>
      <c r="G2415" s="520"/>
      <c r="H2415" s="750"/>
      <c r="I2415" s="503"/>
      <c r="J2415" s="494" t="s">
        <v>37</v>
      </c>
      <c r="K2415" s="190">
        <f>AVERAGE(K2411:K2414)</f>
        <v>12.298991977347205</v>
      </c>
      <c r="L2415" s="186" t="s">
        <v>113</v>
      </c>
      <c r="M2415" s="50"/>
      <c r="N2415" s="50"/>
      <c r="P2415" s="34"/>
      <c r="Q2415" s="5"/>
      <c r="R2415" s="35"/>
    </row>
    <row r="2416" spans="1:21" ht="30" customHeight="1" thickBot="1" x14ac:dyDescent="0.4">
      <c r="A2416" s="1199"/>
      <c r="B2416" s="1200"/>
      <c r="C2416" s="1200"/>
      <c r="D2416" s="1200"/>
      <c r="E2416" s="1200"/>
      <c r="F2416" s="1200"/>
      <c r="G2416" s="1200"/>
      <c r="H2416" s="1200"/>
      <c r="I2416" s="1200"/>
      <c r="J2416" s="1200"/>
      <c r="K2416" s="1200"/>
      <c r="L2416" s="1201"/>
      <c r="M2416" s="50"/>
      <c r="N2416" s="50"/>
      <c r="P2416" s="34"/>
      <c r="Q2416" s="5"/>
      <c r="R2416" s="35"/>
    </row>
    <row r="2417" spans="1:25" ht="30" customHeight="1" x14ac:dyDescent="0.35">
      <c r="A2417" s="388" t="s">
        <v>1</v>
      </c>
      <c r="B2417" s="389">
        <v>4122</v>
      </c>
      <c r="C2417" s="1290" t="s">
        <v>1121</v>
      </c>
      <c r="D2417" s="1291"/>
      <c r="E2417" s="392" t="s">
        <v>3</v>
      </c>
      <c r="F2417" s="393" t="s">
        <v>108</v>
      </c>
      <c r="G2417" s="390" t="s">
        <v>38</v>
      </c>
      <c r="H2417" s="135">
        <v>1752.0847076023299</v>
      </c>
      <c r="I2417" s="392" t="s">
        <v>5</v>
      </c>
      <c r="J2417" s="1207" t="s">
        <v>2538</v>
      </c>
      <c r="K2417" s="1207"/>
      <c r="L2417" s="1208"/>
      <c r="N2417" s="50"/>
      <c r="P2417" s="34"/>
      <c r="Q2417" s="5"/>
      <c r="R2417" s="35"/>
      <c r="X2417" s="396"/>
      <c r="Y2417" s="396"/>
    </row>
    <row r="2418" spans="1:25" s="396" customFormat="1" ht="30" customHeight="1" x14ac:dyDescent="0.35">
      <c r="A2418" s="185" t="s">
        <v>177</v>
      </c>
      <c r="B2418" s="1272" t="s">
        <v>7</v>
      </c>
      <c r="C2418" s="1272"/>
      <c r="D2418" s="1272"/>
      <c r="E2418" s="492" t="s">
        <v>178</v>
      </c>
      <c r="F2418" s="397" t="s">
        <v>52</v>
      </c>
      <c r="G2418" s="1225" t="s">
        <v>54</v>
      </c>
      <c r="H2418" s="1226"/>
      <c r="I2418" s="1221" t="s">
        <v>179</v>
      </c>
      <c r="J2418" s="1222"/>
      <c r="K2418" s="1209" t="s">
        <v>180</v>
      </c>
      <c r="L2418" s="1210"/>
      <c r="M2418" s="50"/>
      <c r="N2418" s="50"/>
      <c r="O2418" s="9"/>
      <c r="P2418" s="34"/>
      <c r="Q2418" s="5"/>
      <c r="R2418" s="35"/>
      <c r="S2418" s="9"/>
      <c r="T2418" s="9"/>
      <c r="U2418" s="9"/>
      <c r="V2418" s="9"/>
      <c r="W2418" s="9"/>
      <c r="X2418" s="9"/>
      <c r="Y2418" s="9"/>
    </row>
    <row r="2419" spans="1:25" ht="30" customHeight="1" x14ac:dyDescent="0.35">
      <c r="A2419" s="401">
        <v>44220</v>
      </c>
      <c r="B2419" s="1389" t="s">
        <v>239</v>
      </c>
      <c r="C2419" s="1390"/>
      <c r="D2419" s="1391"/>
      <c r="E2419" s="531">
        <v>5300</v>
      </c>
      <c r="F2419" s="187">
        <v>367</v>
      </c>
      <c r="G2419" s="532"/>
      <c r="H2419" s="533"/>
      <c r="I2419" s="1217">
        <f>+'FY2024 MILCON Inflation Table'!F22</f>
        <v>0.95834826759383673</v>
      </c>
      <c r="J2419" s="1218"/>
      <c r="K2419" s="187">
        <f>+F2419*I2419</f>
        <v>351.71381420693808</v>
      </c>
      <c r="L2419" s="401" t="s">
        <v>108</v>
      </c>
      <c r="M2419" s="50"/>
      <c r="N2419" s="50"/>
      <c r="P2419" s="34"/>
      <c r="Q2419" s="5"/>
      <c r="R2419" s="35"/>
    </row>
    <row r="2420" spans="1:25" ht="30" customHeight="1" x14ac:dyDescent="0.35">
      <c r="A2420" s="401">
        <v>21470</v>
      </c>
      <c r="B2420" s="1389" t="s">
        <v>2573</v>
      </c>
      <c r="C2420" s="1390"/>
      <c r="D2420" s="1391"/>
      <c r="E2420" s="531">
        <v>180</v>
      </c>
      <c r="F2420" s="187">
        <v>724</v>
      </c>
      <c r="G2420" s="532"/>
      <c r="H2420" s="533"/>
      <c r="I2420" s="1217">
        <f>+I2419</f>
        <v>0.95834826759383673</v>
      </c>
      <c r="J2420" s="1218"/>
      <c r="K2420" s="187">
        <f>+F2420*I2420</f>
        <v>693.84414573793777</v>
      </c>
      <c r="L2420" s="401" t="s">
        <v>108</v>
      </c>
      <c r="M2420" s="50"/>
      <c r="N2420" s="50"/>
      <c r="O2420" s="5"/>
      <c r="P2420" s="9"/>
      <c r="Q2420" s="34"/>
      <c r="R2420" s="5"/>
      <c r="S2420" s="35"/>
    </row>
    <row r="2421" spans="1:25" ht="30" customHeight="1" x14ac:dyDescent="0.35">
      <c r="A2421" s="186"/>
      <c r="B2421" s="373"/>
      <c r="C2421" s="374"/>
      <c r="D2421" s="648" t="s">
        <v>192</v>
      </c>
      <c r="E2421" s="649">
        <f>AVERAGE(E2419:E2420)</f>
        <v>2740</v>
      </c>
      <c r="F2421" s="137"/>
      <c r="G2421" s="650"/>
      <c r="H2421" s="651"/>
      <c r="I2421" s="1217" t="s">
        <v>192</v>
      </c>
      <c r="J2421" s="1218"/>
      <c r="K2421" s="187">
        <f>AVERAGE(K2419:K2420)</f>
        <v>522.77897997243792</v>
      </c>
      <c r="L2421" s="401" t="s">
        <v>108</v>
      </c>
      <c r="M2421" s="50"/>
      <c r="N2421" s="50"/>
      <c r="P2421" s="34"/>
      <c r="Q2421" s="5"/>
      <c r="R2421" s="35"/>
    </row>
    <row r="2422" spans="1:25" ht="30" customHeight="1" thickBot="1" x14ac:dyDescent="0.4">
      <c r="A2422" s="186"/>
      <c r="B2422" s="1264"/>
      <c r="C2422" s="1264"/>
      <c r="D2422" s="1264"/>
      <c r="E2422" s="652"/>
      <c r="F2422" s="653"/>
      <c r="G2422" s="653"/>
      <c r="H2422" s="654"/>
      <c r="I2422" s="503"/>
      <c r="J2422" s="494" t="s">
        <v>37</v>
      </c>
      <c r="K2422" s="193">
        <f>+K2421</f>
        <v>522.77897997243792</v>
      </c>
      <c r="L2422" s="186" t="s">
        <v>108</v>
      </c>
      <c r="M2422" s="50"/>
      <c r="N2422" s="50"/>
      <c r="O2422" s="5"/>
      <c r="P2422" s="9"/>
      <c r="Q2422" s="34"/>
      <c r="R2422" s="5"/>
      <c r="S2422" s="35"/>
    </row>
    <row r="2423" spans="1:25" ht="30" customHeight="1" thickBot="1" x14ac:dyDescent="0.4">
      <c r="A2423" s="1199"/>
      <c r="B2423" s="1200"/>
      <c r="C2423" s="1200"/>
      <c r="D2423" s="1200"/>
      <c r="E2423" s="1200"/>
      <c r="F2423" s="1200"/>
      <c r="G2423" s="1200"/>
      <c r="H2423" s="1200"/>
      <c r="I2423" s="1200"/>
      <c r="J2423" s="1200"/>
      <c r="K2423" s="1200"/>
      <c r="L2423" s="1201"/>
      <c r="M2423" s="50"/>
      <c r="N2423" s="50"/>
      <c r="O2423" s="5"/>
      <c r="P2423" s="9"/>
      <c r="Q2423" s="34"/>
      <c r="R2423" s="5"/>
      <c r="S2423" s="35"/>
    </row>
    <row r="2424" spans="1:25" ht="30.75" customHeight="1" x14ac:dyDescent="0.35">
      <c r="A2424" s="388" t="s">
        <v>1</v>
      </c>
      <c r="B2424" s="389">
        <v>4211</v>
      </c>
      <c r="C2424" s="1290" t="s">
        <v>1122</v>
      </c>
      <c r="D2424" s="1291"/>
      <c r="E2424" s="392" t="s">
        <v>3</v>
      </c>
      <c r="F2424" s="393" t="s">
        <v>108</v>
      </c>
      <c r="G2424" s="390" t="s">
        <v>38</v>
      </c>
      <c r="H2424" s="135">
        <v>2658.2639538795202</v>
      </c>
      <c r="I2424" s="392" t="s">
        <v>5</v>
      </c>
      <c r="J2424" s="1207" t="s">
        <v>2861</v>
      </c>
      <c r="K2424" s="1207"/>
      <c r="L2424" s="1208"/>
      <c r="M2424" s="96"/>
      <c r="N2424" s="50"/>
      <c r="O2424" s="5"/>
      <c r="P2424" s="9"/>
      <c r="Q2424" s="34"/>
      <c r="R2424" s="5"/>
      <c r="S2424" s="35"/>
    </row>
    <row r="2425" spans="1:25" ht="30.75" customHeight="1" x14ac:dyDescent="0.35">
      <c r="A2425" s="185" t="s">
        <v>177</v>
      </c>
      <c r="B2425" s="1272" t="s">
        <v>7</v>
      </c>
      <c r="C2425" s="1272"/>
      <c r="D2425" s="1272"/>
      <c r="E2425" s="185" t="s">
        <v>178</v>
      </c>
      <c r="F2425" s="185" t="s">
        <v>52</v>
      </c>
      <c r="G2425" s="1292"/>
      <c r="H2425" s="1293"/>
      <c r="I2425" s="1223" t="s">
        <v>56</v>
      </c>
      <c r="J2425" s="1224"/>
      <c r="K2425" s="1209" t="s">
        <v>180</v>
      </c>
      <c r="L2425" s="1210"/>
      <c r="M2425" s="96"/>
      <c r="N2425" s="50"/>
      <c r="O2425" s="5"/>
      <c r="P2425" s="9"/>
      <c r="Q2425" s="34"/>
      <c r="R2425" s="5"/>
      <c r="S2425" s="35"/>
    </row>
    <row r="2426" spans="1:25" ht="30" customHeight="1" x14ac:dyDescent="0.35">
      <c r="A2426" s="407" t="s">
        <v>181</v>
      </c>
      <c r="B2426" s="1265" t="s">
        <v>2473</v>
      </c>
      <c r="C2426" s="1265"/>
      <c r="D2426" s="1265"/>
      <c r="E2426" s="203">
        <v>10000</v>
      </c>
      <c r="F2426" s="344">
        <v>837</v>
      </c>
      <c r="G2426" s="401"/>
      <c r="H2426" s="401"/>
      <c r="I2426" s="1217" t="s">
        <v>2860</v>
      </c>
      <c r="J2426" s="1218"/>
      <c r="K2426" s="948">
        <f>+F2426</f>
        <v>837</v>
      </c>
      <c r="L2426" s="407" t="s">
        <v>108</v>
      </c>
      <c r="M2426" s="50"/>
      <c r="N2426" s="50"/>
      <c r="O2426" s="5"/>
      <c r="P2426" s="9"/>
      <c r="Q2426" s="34"/>
      <c r="R2426" s="5"/>
      <c r="S2426" s="35"/>
    </row>
    <row r="2427" spans="1:25" ht="45" customHeight="1" thickBot="1" x14ac:dyDescent="0.4">
      <c r="A2427" s="186"/>
      <c r="B2427" s="1264"/>
      <c r="C2427" s="1264"/>
      <c r="D2427" s="1264"/>
      <c r="E2427" s="535"/>
      <c r="F2427" s="536"/>
      <c r="G2427" s="536"/>
      <c r="H2427" s="537"/>
      <c r="I2427" s="503"/>
      <c r="J2427" s="494" t="s">
        <v>37</v>
      </c>
      <c r="K2427" s="190">
        <f>+K2426</f>
        <v>837</v>
      </c>
      <c r="L2427" s="186" t="s">
        <v>108</v>
      </c>
      <c r="M2427" s="96"/>
      <c r="N2427" s="50"/>
      <c r="O2427" s="5"/>
      <c r="P2427" s="9"/>
      <c r="Q2427" s="34"/>
      <c r="R2427" s="5"/>
      <c r="S2427" s="35"/>
    </row>
    <row r="2428" spans="1:25" ht="30" customHeight="1" thickBot="1" x14ac:dyDescent="0.4">
      <c r="A2428" s="1199"/>
      <c r="B2428" s="1200"/>
      <c r="C2428" s="1200"/>
      <c r="D2428" s="1200"/>
      <c r="E2428" s="1200"/>
      <c r="F2428" s="1200"/>
      <c r="G2428" s="1200"/>
      <c r="H2428" s="1200"/>
      <c r="I2428" s="1200"/>
      <c r="J2428" s="1200"/>
      <c r="K2428" s="1200"/>
      <c r="L2428" s="1201"/>
      <c r="M2428" s="50"/>
      <c r="N2428" s="50"/>
      <c r="O2428" s="5"/>
      <c r="P2428" s="9"/>
      <c r="Q2428" s="34"/>
      <c r="R2428" s="5"/>
      <c r="S2428" s="35"/>
    </row>
    <row r="2429" spans="1:25" ht="45" customHeight="1" x14ac:dyDescent="0.35">
      <c r="A2429" s="388" t="s">
        <v>1</v>
      </c>
      <c r="B2429" s="389">
        <v>4221</v>
      </c>
      <c r="C2429" s="1290" t="s">
        <v>1123</v>
      </c>
      <c r="D2429" s="1291"/>
      <c r="E2429" s="392" t="s">
        <v>3</v>
      </c>
      <c r="F2429" s="393" t="s">
        <v>108</v>
      </c>
      <c r="G2429" s="390" t="s">
        <v>38</v>
      </c>
      <c r="H2429" s="135">
        <v>2274.0796034200398</v>
      </c>
      <c r="I2429" s="392" t="s">
        <v>5</v>
      </c>
      <c r="J2429" s="1207" t="s">
        <v>2861</v>
      </c>
      <c r="K2429" s="1207"/>
      <c r="L2429" s="1208"/>
      <c r="M2429" s="96"/>
      <c r="N2429" s="50"/>
      <c r="O2429" s="5"/>
      <c r="P2429" s="9"/>
      <c r="Q2429" s="34"/>
      <c r="R2429" s="5"/>
      <c r="S2429" s="35"/>
    </row>
    <row r="2430" spans="1:25" ht="40.25" customHeight="1" x14ac:dyDescent="0.35">
      <c r="A2430" s="185" t="s">
        <v>177</v>
      </c>
      <c r="B2430" s="1272" t="s">
        <v>7</v>
      </c>
      <c r="C2430" s="1272"/>
      <c r="D2430" s="1272"/>
      <c r="E2430" s="185" t="s">
        <v>178</v>
      </c>
      <c r="F2430" s="185" t="s">
        <v>52</v>
      </c>
      <c r="G2430" s="1292"/>
      <c r="H2430" s="1293"/>
      <c r="I2430" s="1223" t="s">
        <v>56</v>
      </c>
      <c r="J2430" s="1224"/>
      <c r="K2430" s="1209" t="s">
        <v>180</v>
      </c>
      <c r="L2430" s="1210"/>
      <c r="M2430" s="96"/>
      <c r="N2430" s="50"/>
      <c r="O2430" s="5"/>
      <c r="P2430" s="9"/>
      <c r="Q2430" s="34"/>
      <c r="R2430" s="5"/>
      <c r="S2430" s="35"/>
    </row>
    <row r="2431" spans="1:25" ht="30" customHeight="1" x14ac:dyDescent="0.35">
      <c r="A2431" s="407" t="s">
        <v>181</v>
      </c>
      <c r="B2431" s="1265" t="s">
        <v>2472</v>
      </c>
      <c r="C2431" s="1265"/>
      <c r="D2431" s="1265"/>
      <c r="E2431" s="203">
        <v>2700</v>
      </c>
      <c r="F2431" s="344">
        <v>1028</v>
      </c>
      <c r="G2431" s="401"/>
      <c r="H2431" s="401"/>
      <c r="I2431" s="1217" t="s">
        <v>2860</v>
      </c>
      <c r="J2431" s="1218"/>
      <c r="K2431" s="345">
        <f>+F2431</f>
        <v>1028</v>
      </c>
      <c r="L2431" s="407" t="s">
        <v>108</v>
      </c>
      <c r="M2431" s="50"/>
      <c r="N2431" s="50"/>
      <c r="O2431" s="5"/>
      <c r="P2431" s="9"/>
      <c r="Q2431" s="34"/>
      <c r="R2431" s="5"/>
      <c r="S2431" s="35"/>
    </row>
    <row r="2432" spans="1:25" ht="30" customHeight="1" thickBot="1" x14ac:dyDescent="0.4">
      <c r="A2432" s="186"/>
      <c r="B2432" s="1264"/>
      <c r="C2432" s="1264"/>
      <c r="D2432" s="1264"/>
      <c r="E2432" s="535"/>
      <c r="F2432" s="536"/>
      <c r="G2432" s="536"/>
      <c r="H2432" s="537"/>
      <c r="I2432" s="503"/>
      <c r="J2432" s="494" t="s">
        <v>37</v>
      </c>
      <c r="K2432" s="190">
        <f>+K2431</f>
        <v>1028</v>
      </c>
      <c r="L2432" s="186" t="s">
        <v>108</v>
      </c>
      <c r="M2432" s="50"/>
      <c r="N2432" s="50"/>
      <c r="O2432" s="5"/>
      <c r="P2432" s="9"/>
      <c r="Q2432" s="34"/>
      <c r="R2432" s="5"/>
      <c r="S2432" s="35"/>
    </row>
    <row r="2433" spans="1:23" ht="30" customHeight="1" thickBot="1" x14ac:dyDescent="0.4">
      <c r="A2433" s="1459"/>
      <c r="B2433" s="1460"/>
      <c r="C2433" s="1460"/>
      <c r="D2433" s="1460"/>
      <c r="E2433" s="1460"/>
      <c r="F2433" s="1460"/>
      <c r="G2433" s="1460"/>
      <c r="H2433" s="1460"/>
      <c r="I2433" s="1460"/>
      <c r="J2433" s="1460"/>
      <c r="K2433" s="1460"/>
      <c r="L2433" s="1461"/>
      <c r="M2433" s="50"/>
      <c r="N2433" s="50"/>
      <c r="O2433" s="5"/>
      <c r="P2433" s="9"/>
      <c r="Q2433" s="34"/>
      <c r="R2433" s="5"/>
      <c r="S2433" s="35"/>
    </row>
    <row r="2434" spans="1:23" ht="30" customHeight="1" x14ac:dyDescent="0.35">
      <c r="A2434" s="970" t="s">
        <v>1</v>
      </c>
      <c r="B2434" s="971">
        <v>4222</v>
      </c>
      <c r="C2434" s="1443" t="s">
        <v>1125</v>
      </c>
      <c r="D2434" s="1443"/>
      <c r="E2434" s="413" t="s">
        <v>3</v>
      </c>
      <c r="F2434" s="972" t="s">
        <v>108</v>
      </c>
      <c r="G2434" s="973" t="s">
        <v>38</v>
      </c>
      <c r="H2434" s="346">
        <v>1760</v>
      </c>
      <c r="I2434" s="413" t="s">
        <v>5</v>
      </c>
      <c r="J2434" s="1637" t="s">
        <v>2538</v>
      </c>
      <c r="K2434" s="1637"/>
      <c r="L2434" s="1638"/>
      <c r="M2434" s="96"/>
      <c r="N2434" s="50"/>
      <c r="O2434" s="5"/>
      <c r="P2434" s="9"/>
      <c r="Q2434" s="34"/>
      <c r="R2434" s="5"/>
      <c r="S2434" s="35"/>
    </row>
    <row r="2435" spans="1:23" ht="30" customHeight="1" x14ac:dyDescent="0.35">
      <c r="A2435" s="246" t="s">
        <v>177</v>
      </c>
      <c r="B2435" s="1248" t="s">
        <v>7</v>
      </c>
      <c r="C2435" s="1248"/>
      <c r="D2435" s="1248"/>
      <c r="E2435" s="446" t="s">
        <v>52</v>
      </c>
      <c r="F2435" s="446" t="s">
        <v>178</v>
      </c>
      <c r="G2435" s="1294" t="s">
        <v>54</v>
      </c>
      <c r="H2435" s="1294"/>
      <c r="I2435" s="1399" t="s">
        <v>179</v>
      </c>
      <c r="J2435" s="1399"/>
      <c r="K2435" s="1294" t="s">
        <v>180</v>
      </c>
      <c r="L2435" s="1428"/>
      <c r="M2435" s="96"/>
      <c r="N2435" s="50"/>
      <c r="O2435" s="5"/>
      <c r="P2435" s="9"/>
      <c r="Q2435" s="34"/>
      <c r="R2435" s="5"/>
      <c r="S2435" s="35"/>
    </row>
    <row r="2436" spans="1:23" ht="30" customHeight="1" x14ac:dyDescent="0.35">
      <c r="A2436" s="244">
        <v>44222</v>
      </c>
      <c r="B2436" s="1558" t="s">
        <v>1126</v>
      </c>
      <c r="C2436" s="1558"/>
      <c r="D2436" s="1558"/>
      <c r="E2436" s="279">
        <v>233</v>
      </c>
      <c r="F2436" s="301">
        <v>2000</v>
      </c>
      <c r="G2436" s="271" t="s">
        <v>108</v>
      </c>
      <c r="H2436" s="974"/>
      <c r="I2436" s="1563">
        <f>+'FY2024 MILCON Inflation Table'!F22</f>
        <v>0.95834826759383673</v>
      </c>
      <c r="J2436" s="1563"/>
      <c r="K2436" s="300">
        <f>+E2436*I2436</f>
        <v>223.29514634936396</v>
      </c>
      <c r="L2436" s="975" t="s">
        <v>108</v>
      </c>
      <c r="M2436" s="96"/>
      <c r="N2436" s="50"/>
      <c r="O2436" s="5"/>
      <c r="P2436" s="9"/>
      <c r="Q2436" s="34"/>
      <c r="R2436" s="5"/>
      <c r="S2436" s="35"/>
    </row>
    <row r="2437" spans="1:23" ht="30" customHeight="1" thickBot="1" x14ac:dyDescent="0.4">
      <c r="A2437" s="816"/>
      <c r="B2437" s="1764"/>
      <c r="C2437" s="1764"/>
      <c r="D2437" s="1764"/>
      <c r="E2437" s="976"/>
      <c r="F2437" s="977"/>
      <c r="G2437" s="976"/>
      <c r="H2437" s="976"/>
      <c r="I2437" s="978"/>
      <c r="J2437" s="979" t="s">
        <v>37</v>
      </c>
      <c r="K2437" s="302">
        <f>AVERAGE(K2436:K2436)</f>
        <v>223.29514634936396</v>
      </c>
      <c r="L2437" s="980" t="s">
        <v>108</v>
      </c>
      <c r="M2437" s="50"/>
      <c r="N2437" s="50"/>
      <c r="O2437" s="5"/>
      <c r="P2437" s="9"/>
      <c r="Q2437" s="34"/>
      <c r="R2437" s="5"/>
      <c r="S2437" s="35"/>
    </row>
    <row r="2438" spans="1:23" ht="30" customHeight="1" thickBot="1" x14ac:dyDescent="0.4">
      <c r="A2438" s="1639"/>
      <c r="B2438" s="1640"/>
      <c r="C2438" s="1640"/>
      <c r="D2438" s="1640"/>
      <c r="E2438" s="1640"/>
      <c r="F2438" s="1640"/>
      <c r="G2438" s="1640"/>
      <c r="H2438" s="1640"/>
      <c r="I2438" s="1640"/>
      <c r="J2438" s="1640"/>
      <c r="K2438" s="1640"/>
      <c r="L2438" s="1641"/>
      <c r="M2438" s="50"/>
      <c r="N2438" s="50"/>
      <c r="O2438" s="5"/>
      <c r="P2438" s="9"/>
      <c r="Q2438" s="34"/>
      <c r="R2438" s="5"/>
      <c r="S2438" s="35"/>
    </row>
    <row r="2439" spans="1:23" ht="30" customHeight="1" x14ac:dyDescent="0.35">
      <c r="A2439" s="388" t="s">
        <v>1</v>
      </c>
      <c r="B2439" s="389">
        <v>4231</v>
      </c>
      <c r="C2439" s="1290" t="s">
        <v>1127</v>
      </c>
      <c r="D2439" s="1291"/>
      <c r="E2439" s="392" t="s">
        <v>3</v>
      </c>
      <c r="F2439" s="393" t="s">
        <v>113</v>
      </c>
      <c r="G2439" s="390" t="s">
        <v>38</v>
      </c>
      <c r="H2439" s="660">
        <v>19918</v>
      </c>
      <c r="I2439" s="392" t="s">
        <v>5</v>
      </c>
      <c r="J2439" s="1207" t="s">
        <v>2481</v>
      </c>
      <c r="K2439" s="1207"/>
      <c r="L2439" s="1208"/>
      <c r="M2439" s="50"/>
      <c r="N2439" s="50"/>
      <c r="O2439" s="5"/>
      <c r="P2439" s="9"/>
      <c r="Q2439" s="34"/>
      <c r="R2439" s="5"/>
      <c r="S2439" s="35"/>
    </row>
    <row r="2440" spans="1:23" ht="30" customHeight="1" x14ac:dyDescent="0.35">
      <c r="A2440" s="494" t="s">
        <v>187</v>
      </c>
      <c r="B2440" s="1280" t="s">
        <v>211</v>
      </c>
      <c r="C2440" s="1281"/>
      <c r="D2440" s="1282"/>
      <c r="E2440" s="566"/>
      <c r="F2440" s="566" t="s">
        <v>53</v>
      </c>
      <c r="G2440" s="1219" t="s">
        <v>54</v>
      </c>
      <c r="H2440" s="1220"/>
      <c r="I2440" s="185" t="s">
        <v>188</v>
      </c>
      <c r="J2440" s="185"/>
      <c r="K2440" s="1209" t="s">
        <v>180</v>
      </c>
      <c r="L2440" s="1210"/>
      <c r="M2440" s="50"/>
      <c r="N2440" s="50"/>
      <c r="O2440" s="5"/>
      <c r="P2440" s="9"/>
      <c r="Q2440" s="34"/>
      <c r="R2440" s="5"/>
      <c r="S2440" s="35"/>
    </row>
    <row r="2441" spans="1:23" ht="30" customHeight="1" x14ac:dyDescent="0.35">
      <c r="A2441" s="186" t="s">
        <v>242</v>
      </c>
      <c r="B2441" s="1202" t="s">
        <v>1128</v>
      </c>
      <c r="C2441" s="1203"/>
      <c r="D2441" s="1204"/>
      <c r="E2441" s="194">
        <v>162000</v>
      </c>
      <c r="F2441" s="186" t="s">
        <v>40</v>
      </c>
      <c r="G2441" s="748">
        <v>20000</v>
      </c>
      <c r="H2441" s="188" t="s">
        <v>2732</v>
      </c>
      <c r="I2441" s="204">
        <v>1.36</v>
      </c>
      <c r="J2441" s="186"/>
      <c r="K2441" s="194">
        <f>+E2441/G2441*I2441</f>
        <v>11.016</v>
      </c>
      <c r="L2441" s="186" t="s">
        <v>113</v>
      </c>
      <c r="M2441" s="96"/>
      <c r="N2441" s="50"/>
      <c r="O2441" s="5"/>
      <c r="P2441" s="9"/>
      <c r="Q2441" s="34"/>
      <c r="R2441" s="5"/>
      <c r="S2441" s="35"/>
    </row>
    <row r="2442" spans="1:23" ht="30" customHeight="1" x14ac:dyDescent="0.35">
      <c r="A2442" s="186"/>
      <c r="B2442" s="567"/>
      <c r="C2442" s="567"/>
      <c r="D2442" s="567"/>
      <c r="E2442" s="194"/>
      <c r="F2442" s="1215" t="s">
        <v>195</v>
      </c>
      <c r="G2442" s="1273" t="s">
        <v>196</v>
      </c>
      <c r="H2442" s="1273"/>
      <c r="I2442" s="1273"/>
      <c r="J2442" s="1273"/>
      <c r="K2442" s="204">
        <v>1.06</v>
      </c>
      <c r="L2442" s="186"/>
      <c r="M2442" s="50"/>
      <c r="N2442" s="50"/>
      <c r="O2442" s="5"/>
      <c r="P2442" s="9"/>
      <c r="Q2442" s="34"/>
      <c r="R2442" s="5"/>
      <c r="S2442" s="35"/>
    </row>
    <row r="2443" spans="1:23" ht="30" customHeight="1" x14ac:dyDescent="0.35">
      <c r="A2443" s="186"/>
      <c r="B2443" s="567"/>
      <c r="C2443" s="567"/>
      <c r="D2443" s="567"/>
      <c r="E2443" s="194"/>
      <c r="F2443" s="1216"/>
      <c r="G2443" s="1268" t="s">
        <v>2477</v>
      </c>
      <c r="H2443" s="1268"/>
      <c r="I2443" s="1268"/>
      <c r="J2443" s="1268"/>
      <c r="K2443" s="196">
        <v>1.05</v>
      </c>
      <c r="L2443" s="186"/>
      <c r="M2443" s="50"/>
      <c r="N2443" s="50"/>
      <c r="O2443" s="5"/>
      <c r="P2443" s="9"/>
      <c r="Q2443" s="34"/>
      <c r="R2443" s="5"/>
      <c r="S2443" s="35"/>
    </row>
    <row r="2444" spans="1:23" ht="30" customHeight="1" x14ac:dyDescent="0.35">
      <c r="A2444" s="186"/>
      <c r="B2444" s="186"/>
      <c r="C2444" s="503"/>
      <c r="D2444" s="503"/>
      <c r="E2444" s="503"/>
      <c r="F2444" s="503"/>
      <c r="G2444" s="503"/>
      <c r="H2444" s="503"/>
      <c r="I2444" s="503"/>
      <c r="J2444" s="186" t="s">
        <v>37</v>
      </c>
      <c r="K2444" s="193">
        <f>+K2441*K2442/K2443</f>
        <v>11.120914285714287</v>
      </c>
      <c r="L2444" s="186" t="s">
        <v>113</v>
      </c>
      <c r="M2444" s="50"/>
      <c r="N2444" s="50"/>
      <c r="O2444" s="5"/>
      <c r="P2444" s="9"/>
      <c r="Q2444" s="34"/>
      <c r="R2444" s="5"/>
      <c r="S2444" s="35"/>
    </row>
    <row r="2445" spans="1:23" ht="30" customHeight="1" x14ac:dyDescent="0.35">
      <c r="A2445" s="186"/>
      <c r="B2445" s="186"/>
      <c r="C2445" s="503"/>
      <c r="D2445" s="503"/>
      <c r="E2445" s="503"/>
      <c r="F2445" s="503"/>
      <c r="G2445" s="503"/>
      <c r="H2445" s="503"/>
      <c r="I2445" s="944" t="s">
        <v>257</v>
      </c>
      <c r="J2445" s="560">
        <f>VLOOKUP(B2439,'Mil Cost Premiums for PUCs'!$A$4:$R$285,18,FALSE)</f>
        <v>1.0209999999999999</v>
      </c>
      <c r="K2445" s="193">
        <f>+K2444*J2445</f>
        <v>11.354453485714286</v>
      </c>
      <c r="L2445" s="186" t="s">
        <v>113</v>
      </c>
      <c r="M2445" s="50"/>
      <c r="N2445" s="50"/>
      <c r="O2445" s="5"/>
      <c r="T2445" s="10"/>
      <c r="U2445" s="10"/>
    </row>
    <row r="2446" spans="1:23" ht="30" customHeight="1" thickBot="1" x14ac:dyDescent="0.4">
      <c r="A2446" s="186"/>
      <c r="B2446" s="186"/>
      <c r="C2446" s="503"/>
      <c r="D2446" s="503"/>
      <c r="E2446" s="503"/>
      <c r="F2446" s="503"/>
      <c r="G2446" s="503"/>
      <c r="H2446" s="503"/>
      <c r="I2446" s="944" t="s">
        <v>3000</v>
      </c>
      <c r="J2446" s="560">
        <v>1.0438745311870361</v>
      </c>
      <c r="K2446" s="193">
        <f>+K2445*J2446</f>
        <v>11.852624809285008</v>
      </c>
      <c r="L2446" s="186" t="s">
        <v>113</v>
      </c>
      <c r="M2446" s="50"/>
      <c r="N2446" s="50"/>
      <c r="O2446" s="5"/>
      <c r="T2446" s="10"/>
      <c r="U2446" s="10"/>
    </row>
    <row r="2447" spans="1:23" ht="30" customHeight="1" thickBot="1" x14ac:dyDescent="0.4">
      <c r="A2447" s="1199"/>
      <c r="B2447" s="1200"/>
      <c r="C2447" s="1200"/>
      <c r="D2447" s="1200"/>
      <c r="E2447" s="1200"/>
      <c r="F2447" s="1200"/>
      <c r="G2447" s="1200"/>
      <c r="H2447" s="1200"/>
      <c r="I2447" s="1200"/>
      <c r="J2447" s="1200"/>
      <c r="K2447" s="1200"/>
      <c r="L2447" s="1201"/>
      <c r="N2447" s="50"/>
      <c r="O2447" s="396"/>
      <c r="P2447" s="384"/>
      <c r="Q2447" s="396"/>
      <c r="R2447" s="396"/>
      <c r="S2447" s="396"/>
      <c r="T2447" s="396"/>
      <c r="U2447" s="396"/>
      <c r="V2447" s="396"/>
      <c r="W2447" s="396"/>
    </row>
    <row r="2448" spans="1:23" ht="30" customHeight="1" x14ac:dyDescent="0.35">
      <c r="A2448" s="388" t="s">
        <v>1</v>
      </c>
      <c r="B2448" s="389">
        <v>4241</v>
      </c>
      <c r="C2448" s="1290" t="s">
        <v>1129</v>
      </c>
      <c r="D2448" s="1291"/>
      <c r="E2448" s="392" t="s">
        <v>3</v>
      </c>
      <c r="F2448" s="393" t="s">
        <v>108</v>
      </c>
      <c r="G2448" s="390" t="s">
        <v>38</v>
      </c>
      <c r="H2448" s="135">
        <v>1808</v>
      </c>
      <c r="I2448" s="392" t="s">
        <v>5</v>
      </c>
      <c r="J2448" s="1637" t="s">
        <v>2538</v>
      </c>
      <c r="K2448" s="1637"/>
      <c r="L2448" s="1638"/>
      <c r="M2448" s="96"/>
      <c r="N2448" s="50"/>
    </row>
    <row r="2449" spans="1:19" ht="30" customHeight="1" x14ac:dyDescent="0.35">
      <c r="A2449" s="185" t="s">
        <v>177</v>
      </c>
      <c r="B2449" s="1272" t="s">
        <v>7</v>
      </c>
      <c r="C2449" s="1272"/>
      <c r="D2449" s="1272"/>
      <c r="E2449" s="397" t="s">
        <v>52</v>
      </c>
      <c r="F2449" s="185" t="s">
        <v>178</v>
      </c>
      <c r="G2449" s="1292" t="s">
        <v>9</v>
      </c>
      <c r="H2449" s="1293"/>
      <c r="I2449" s="1221" t="s">
        <v>179</v>
      </c>
      <c r="J2449" s="1222"/>
      <c r="K2449" s="1209" t="s">
        <v>180</v>
      </c>
      <c r="L2449" s="1210"/>
      <c r="M2449" s="96"/>
      <c r="N2449" s="50"/>
    </row>
    <row r="2450" spans="1:19" ht="30" customHeight="1" x14ac:dyDescent="0.35">
      <c r="A2450" s="401">
        <v>21850</v>
      </c>
      <c r="B2450" s="1586" t="s">
        <v>1130</v>
      </c>
      <c r="C2450" s="1587"/>
      <c r="D2450" s="1588"/>
      <c r="E2450" s="194">
        <v>328</v>
      </c>
      <c r="F2450" s="203">
        <v>600</v>
      </c>
      <c r="G2450" s="401" t="s">
        <v>108</v>
      </c>
      <c r="H2450" s="401"/>
      <c r="I2450" s="1492">
        <f>+'FY2024 MILCON Inflation Table'!F22</f>
        <v>0.95834826759383673</v>
      </c>
      <c r="J2450" s="1493"/>
      <c r="K2450" s="189">
        <f>+E2450*I2450</f>
        <v>314.33823177077846</v>
      </c>
      <c r="L2450" s="401" t="s">
        <v>108</v>
      </c>
      <c r="M2450" s="50"/>
      <c r="N2450" s="50"/>
      <c r="P2450" s="9"/>
      <c r="Q2450" s="34"/>
      <c r="R2450" s="5"/>
      <c r="S2450" s="35"/>
    </row>
    <row r="2451" spans="1:19" ht="30" customHeight="1" x14ac:dyDescent="0.35">
      <c r="A2451" s="401">
        <v>43211</v>
      </c>
      <c r="B2451" s="543" t="s">
        <v>1131</v>
      </c>
      <c r="C2451" s="544"/>
      <c r="D2451" s="545"/>
      <c r="E2451" s="194">
        <v>684</v>
      </c>
      <c r="F2451" s="203">
        <v>1184</v>
      </c>
      <c r="G2451" s="401" t="s">
        <v>108</v>
      </c>
      <c r="H2451" s="401"/>
      <c r="I2451" s="1492">
        <f>+I2450</f>
        <v>0.95834826759383673</v>
      </c>
      <c r="J2451" s="1493"/>
      <c r="K2451" s="189">
        <f>+E2451*I2451</f>
        <v>655.51021503418428</v>
      </c>
      <c r="L2451" s="401" t="s">
        <v>108</v>
      </c>
      <c r="M2451" s="50"/>
      <c r="N2451" s="50"/>
      <c r="O2451" s="539"/>
      <c r="P2451" s="9"/>
      <c r="Q2451" s="34"/>
      <c r="R2451" s="5"/>
      <c r="S2451" s="35"/>
    </row>
    <row r="2452" spans="1:19" ht="30" customHeight="1" x14ac:dyDescent="0.35">
      <c r="A2452" s="186"/>
      <c r="B2452" s="373"/>
      <c r="C2452" s="374"/>
      <c r="D2452" s="375"/>
      <c r="E2452" s="129"/>
      <c r="F2452" s="143"/>
      <c r="G2452" s="728"/>
      <c r="H2452" s="525"/>
      <c r="I2452" s="405"/>
      <c r="J2452" s="406" t="s">
        <v>192</v>
      </c>
      <c r="K2452" s="189">
        <f>AVERAGE(K2450:K2451)</f>
        <v>484.9242234024814</v>
      </c>
      <c r="L2452" s="401" t="s">
        <v>108</v>
      </c>
      <c r="M2452" s="50"/>
      <c r="N2452" s="50"/>
      <c r="O2452" s="539"/>
      <c r="P2452" s="9"/>
      <c r="Q2452" s="34"/>
      <c r="R2452" s="5"/>
      <c r="S2452" s="35"/>
    </row>
    <row r="2453" spans="1:19" ht="30" customHeight="1" thickBot="1" x14ac:dyDescent="0.4">
      <c r="A2453" s="186"/>
      <c r="B2453" s="1202"/>
      <c r="C2453" s="1203"/>
      <c r="D2453" s="1204"/>
      <c r="E2453" s="520"/>
      <c r="F2453" s="784"/>
      <c r="G2453" s="520"/>
      <c r="H2453" s="750"/>
      <c r="I2453" s="503"/>
      <c r="J2453" s="494" t="s">
        <v>37</v>
      </c>
      <c r="K2453" s="190">
        <f>+K2452</f>
        <v>484.9242234024814</v>
      </c>
      <c r="L2453" s="401" t="s">
        <v>108</v>
      </c>
      <c r="M2453" s="50"/>
      <c r="N2453" s="50"/>
    </row>
    <row r="2454" spans="1:19" ht="30" customHeight="1" thickBot="1" x14ac:dyDescent="0.4">
      <c r="A2454" s="1199"/>
      <c r="B2454" s="1200"/>
      <c r="C2454" s="1200"/>
      <c r="D2454" s="1200"/>
      <c r="E2454" s="1200"/>
      <c r="F2454" s="1200"/>
      <c r="G2454" s="1200"/>
      <c r="H2454" s="1200"/>
      <c r="I2454" s="1200"/>
      <c r="J2454" s="1200"/>
      <c r="K2454" s="1200"/>
      <c r="L2454" s="1201"/>
      <c r="M2454" s="50"/>
      <c r="N2454" s="50"/>
      <c r="O2454" s="539"/>
      <c r="P2454" s="9"/>
      <c r="Q2454" s="34"/>
      <c r="R2454" s="5"/>
      <c r="S2454" s="35"/>
    </row>
    <row r="2455" spans="1:19" ht="30" customHeight="1" x14ac:dyDescent="0.35">
      <c r="A2455" s="388" t="s">
        <v>1</v>
      </c>
      <c r="B2455" s="389">
        <v>4311</v>
      </c>
      <c r="C2455" s="1205" t="s">
        <v>1132</v>
      </c>
      <c r="D2455" s="1206"/>
      <c r="E2455" s="392" t="s">
        <v>3</v>
      </c>
      <c r="F2455" s="393" t="s">
        <v>108</v>
      </c>
      <c r="G2455" s="390" t="s">
        <v>38</v>
      </c>
      <c r="H2455" s="660">
        <v>28265.075438596399</v>
      </c>
      <c r="I2455" s="392" t="s">
        <v>5</v>
      </c>
      <c r="J2455" s="1637" t="s">
        <v>2538</v>
      </c>
      <c r="K2455" s="1637"/>
      <c r="L2455" s="1638"/>
      <c r="M2455" s="50"/>
      <c r="N2455" s="50"/>
      <c r="O2455" s="5"/>
      <c r="P2455" s="9"/>
      <c r="Q2455" s="34"/>
      <c r="R2455" s="5"/>
      <c r="S2455" s="35"/>
    </row>
    <row r="2456" spans="1:19" ht="30" customHeight="1" x14ac:dyDescent="0.35">
      <c r="A2456" s="185" t="s">
        <v>177</v>
      </c>
      <c r="B2456" s="1272" t="s">
        <v>7</v>
      </c>
      <c r="C2456" s="1272"/>
      <c r="D2456" s="1272"/>
      <c r="E2456" s="397" t="s">
        <v>52</v>
      </c>
      <c r="F2456" s="185" t="s">
        <v>178</v>
      </c>
      <c r="G2456" s="1292" t="s">
        <v>54</v>
      </c>
      <c r="H2456" s="1293"/>
      <c r="I2456" s="1221" t="s">
        <v>179</v>
      </c>
      <c r="J2456" s="1222"/>
      <c r="K2456" s="1209" t="s">
        <v>180</v>
      </c>
      <c r="L2456" s="1210"/>
      <c r="M2456" s="50"/>
      <c r="N2456" s="50"/>
      <c r="O2456" s="5"/>
      <c r="P2456" s="9"/>
      <c r="Q2456" s="34"/>
      <c r="R2456" s="5"/>
      <c r="S2456" s="35"/>
    </row>
    <row r="2457" spans="1:19" ht="30" customHeight="1" x14ac:dyDescent="0.35">
      <c r="A2457" s="401">
        <v>43211</v>
      </c>
      <c r="B2457" s="1586" t="s">
        <v>2572</v>
      </c>
      <c r="C2457" s="1587"/>
      <c r="D2457" s="1588"/>
      <c r="E2457" s="191">
        <v>684</v>
      </c>
      <c r="F2457" s="574">
        <v>1184</v>
      </c>
      <c r="G2457" s="401"/>
      <c r="H2457" s="401"/>
      <c r="I2457" s="1492">
        <f>+'FY2024 MILCON Inflation Table'!F22</f>
        <v>0.95834826759383673</v>
      </c>
      <c r="J2457" s="1493"/>
      <c r="K2457" s="191">
        <f>+E2457*I2457</f>
        <v>655.51021503418428</v>
      </c>
      <c r="L2457" s="401" t="s">
        <v>108</v>
      </c>
      <c r="M2457" s="50"/>
      <c r="N2457" s="50"/>
      <c r="O2457" s="5"/>
      <c r="P2457" s="9"/>
      <c r="Q2457" s="34"/>
      <c r="R2457" s="5"/>
      <c r="S2457" s="35"/>
    </row>
    <row r="2458" spans="1:19" ht="30" customHeight="1" x14ac:dyDescent="0.35">
      <c r="A2458" s="401">
        <v>44220</v>
      </c>
      <c r="B2458" s="1389" t="s">
        <v>2779</v>
      </c>
      <c r="C2458" s="1390"/>
      <c r="D2458" s="1391"/>
      <c r="E2458" s="51">
        <v>261</v>
      </c>
      <c r="F2458" s="574">
        <v>26000</v>
      </c>
      <c r="G2458" s="562"/>
      <c r="H2458" s="383"/>
      <c r="I2458" s="1492">
        <f>+I2457</f>
        <v>0.95834826759383673</v>
      </c>
      <c r="J2458" s="1493"/>
      <c r="K2458" s="191">
        <f>+E2458*I2458</f>
        <v>250.12889784199137</v>
      </c>
      <c r="L2458" s="401" t="s">
        <v>108</v>
      </c>
      <c r="M2458" s="50"/>
      <c r="N2458" s="50"/>
      <c r="O2458" s="5"/>
      <c r="P2458" s="9"/>
      <c r="Q2458" s="34"/>
      <c r="R2458" s="5"/>
      <c r="S2458" s="35"/>
    </row>
    <row r="2459" spans="1:19" ht="30" customHeight="1" x14ac:dyDescent="0.35">
      <c r="A2459" s="186"/>
      <c r="B2459" s="1212"/>
      <c r="C2459" s="1213"/>
      <c r="D2459" s="1214"/>
      <c r="E2459" s="194" t="s">
        <v>2780</v>
      </c>
      <c r="F2459" s="788">
        <f>AVERAGE(F2457:F2458)</f>
        <v>13592</v>
      </c>
      <c r="G2459" s="503"/>
      <c r="H2459" s="534"/>
      <c r="I2459" s="186"/>
      <c r="J2459" s="186" t="s">
        <v>192</v>
      </c>
      <c r="K2459" s="194">
        <f>AVERAGE(K2457:K2458)</f>
        <v>452.81955643808783</v>
      </c>
      <c r="L2459" s="186" t="s">
        <v>108</v>
      </c>
      <c r="N2459" s="50"/>
      <c r="O2459" s="5"/>
      <c r="P2459" s="9"/>
      <c r="Q2459" s="34"/>
      <c r="R2459" s="5"/>
      <c r="S2459" s="35"/>
    </row>
    <row r="2460" spans="1:19" ht="30" customHeight="1" thickBot="1" x14ac:dyDescent="0.4">
      <c r="A2460" s="186"/>
      <c r="B2460" s="186"/>
      <c r="C2460" s="503"/>
      <c r="D2460" s="503"/>
      <c r="E2460" s="503"/>
      <c r="F2460" s="503"/>
      <c r="G2460" s="503"/>
      <c r="H2460" s="503"/>
      <c r="J2460" s="494" t="s">
        <v>37</v>
      </c>
      <c r="K2460" s="193">
        <f>+K2459</f>
        <v>452.81955643808783</v>
      </c>
      <c r="L2460" s="186" t="s">
        <v>108</v>
      </c>
      <c r="M2460" s="50"/>
      <c r="N2460" s="50"/>
      <c r="O2460" s="5"/>
      <c r="P2460" s="9"/>
      <c r="Q2460" s="34"/>
      <c r="R2460" s="5"/>
      <c r="S2460" s="35"/>
    </row>
    <row r="2461" spans="1:19" ht="30" customHeight="1" thickBot="1" x14ac:dyDescent="0.4">
      <c r="A2461" s="1199"/>
      <c r="B2461" s="1200"/>
      <c r="C2461" s="1200"/>
      <c r="D2461" s="1200"/>
      <c r="E2461" s="1200"/>
      <c r="F2461" s="1200"/>
      <c r="G2461" s="1200"/>
      <c r="H2461" s="1200"/>
      <c r="I2461" s="1200"/>
      <c r="J2461" s="1200"/>
      <c r="K2461" s="1200"/>
      <c r="L2461" s="1201"/>
      <c r="N2461" s="50"/>
      <c r="O2461" s="5"/>
      <c r="P2461" s="9"/>
      <c r="Q2461" s="34"/>
      <c r="R2461" s="5"/>
      <c r="S2461" s="35"/>
    </row>
    <row r="2462" spans="1:19" ht="30" customHeight="1" x14ac:dyDescent="0.35">
      <c r="A2462" s="388" t="s">
        <v>1</v>
      </c>
      <c r="B2462" s="389">
        <v>4321</v>
      </c>
      <c r="C2462" s="1205" t="s">
        <v>1134</v>
      </c>
      <c r="D2462" s="1206"/>
      <c r="E2462" s="392" t="s">
        <v>3</v>
      </c>
      <c r="F2462" s="393" t="s">
        <v>108</v>
      </c>
      <c r="G2462" s="390" t="s">
        <v>38</v>
      </c>
      <c r="H2462" s="660">
        <v>12764.779774774701</v>
      </c>
      <c r="I2462" s="392" t="s">
        <v>5</v>
      </c>
      <c r="J2462" s="1637" t="s">
        <v>2538</v>
      </c>
      <c r="K2462" s="1637"/>
      <c r="L2462" s="1638"/>
      <c r="M2462" s="50"/>
      <c r="N2462" s="50"/>
      <c r="O2462" s="5"/>
      <c r="P2462" s="9"/>
      <c r="Q2462" s="34"/>
      <c r="R2462" s="5"/>
      <c r="S2462" s="35"/>
    </row>
    <row r="2463" spans="1:19" ht="30" customHeight="1" x14ac:dyDescent="0.35">
      <c r="A2463" s="185" t="s">
        <v>177</v>
      </c>
      <c r="B2463" s="1272" t="s">
        <v>7</v>
      </c>
      <c r="C2463" s="1272"/>
      <c r="D2463" s="1272"/>
      <c r="E2463" s="397" t="s">
        <v>52</v>
      </c>
      <c r="F2463" s="185" t="s">
        <v>178</v>
      </c>
      <c r="G2463" s="1292" t="s">
        <v>9</v>
      </c>
      <c r="H2463" s="1293"/>
      <c r="I2463" s="1221" t="s">
        <v>179</v>
      </c>
      <c r="J2463" s="1222"/>
      <c r="K2463" s="1209" t="s">
        <v>180</v>
      </c>
      <c r="L2463" s="1210"/>
      <c r="M2463" s="50"/>
      <c r="N2463" s="50"/>
      <c r="O2463" s="5"/>
      <c r="P2463" s="9"/>
      <c r="Q2463" s="34"/>
      <c r="R2463" s="5"/>
      <c r="S2463" s="35"/>
    </row>
    <row r="2464" spans="1:19" ht="30" customHeight="1" x14ac:dyDescent="0.35">
      <c r="A2464" s="186">
        <v>43211</v>
      </c>
      <c r="B2464" s="1202" t="s">
        <v>2572</v>
      </c>
      <c r="C2464" s="1203"/>
      <c r="D2464" s="1204"/>
      <c r="E2464" s="194">
        <v>684</v>
      </c>
      <c r="F2464" s="203">
        <v>1184</v>
      </c>
      <c r="G2464" s="186" t="s">
        <v>108</v>
      </c>
      <c r="H2464" s="186"/>
      <c r="I2464" s="1563">
        <f>+'FY2024 MILCON Inflation Table'!F22</f>
        <v>0.95834826759383673</v>
      </c>
      <c r="J2464" s="1563"/>
      <c r="K2464" s="194">
        <f>+E2464*I2464</f>
        <v>655.51021503418428</v>
      </c>
      <c r="L2464" s="186" t="s">
        <v>108</v>
      </c>
      <c r="M2464" s="50"/>
      <c r="N2464" s="50"/>
      <c r="O2464" s="5"/>
      <c r="P2464" s="9"/>
      <c r="Q2464" s="34"/>
      <c r="R2464" s="5"/>
      <c r="S2464" s="35"/>
    </row>
    <row r="2465" spans="1:21" ht="30" customHeight="1" thickBot="1" x14ac:dyDescent="0.4">
      <c r="A2465" s="186"/>
      <c r="B2465" s="1212"/>
      <c r="C2465" s="1213"/>
      <c r="D2465" s="1214"/>
      <c r="E2465" s="194"/>
      <c r="F2465" s="127"/>
      <c r="G2465" s="503"/>
      <c r="H2465" s="534"/>
      <c r="I2465" s="186"/>
      <c r="J2465" s="494" t="s">
        <v>37</v>
      </c>
      <c r="K2465" s="194">
        <f>SUM(K2464:K2464)</f>
        <v>655.51021503418428</v>
      </c>
      <c r="L2465" s="186" t="s">
        <v>108</v>
      </c>
      <c r="M2465" s="50"/>
      <c r="N2465" s="50"/>
      <c r="O2465" s="5"/>
      <c r="P2465" s="9"/>
      <c r="Q2465" s="34"/>
      <c r="R2465" s="5"/>
      <c r="S2465" s="35"/>
    </row>
    <row r="2466" spans="1:21" ht="30" customHeight="1" thickBot="1" x14ac:dyDescent="0.4">
      <c r="A2466" s="1199"/>
      <c r="B2466" s="1200"/>
      <c r="C2466" s="1200"/>
      <c r="D2466" s="1200"/>
      <c r="E2466" s="1200"/>
      <c r="F2466" s="1200"/>
      <c r="G2466" s="1200"/>
      <c r="H2466" s="1200"/>
      <c r="I2466" s="1200"/>
      <c r="J2466" s="1200"/>
      <c r="K2466" s="1200"/>
      <c r="L2466" s="1201"/>
      <c r="M2466" s="50"/>
      <c r="N2466" s="50"/>
      <c r="O2466" s="5"/>
      <c r="P2466" s="9"/>
      <c r="Q2466" s="34"/>
      <c r="R2466" s="5"/>
      <c r="S2466" s="35"/>
    </row>
    <row r="2467" spans="1:21" ht="30" customHeight="1" x14ac:dyDescent="0.35">
      <c r="A2467" s="388" t="s">
        <v>1</v>
      </c>
      <c r="B2467" s="389">
        <v>4411</v>
      </c>
      <c r="C2467" s="1290" t="s">
        <v>1135</v>
      </c>
      <c r="D2467" s="1291"/>
      <c r="E2467" s="392" t="s">
        <v>3</v>
      </c>
      <c r="F2467" s="393" t="s">
        <v>108</v>
      </c>
      <c r="G2467" s="390" t="s">
        <v>38</v>
      </c>
      <c r="H2467" s="195">
        <v>18222.469264576601</v>
      </c>
      <c r="I2467" s="392" t="s">
        <v>5</v>
      </c>
      <c r="J2467" s="1207" t="s">
        <v>2861</v>
      </c>
      <c r="K2467" s="1207"/>
      <c r="L2467" s="1208"/>
      <c r="M2467" s="50"/>
      <c r="N2467" s="50"/>
      <c r="O2467" s="5"/>
      <c r="P2467" s="9"/>
      <c r="Q2467" s="34"/>
      <c r="R2467" s="5"/>
      <c r="S2467" s="35"/>
    </row>
    <row r="2468" spans="1:21" ht="30" customHeight="1" x14ac:dyDescent="0.35">
      <c r="A2468" s="185" t="s">
        <v>177</v>
      </c>
      <c r="B2468" s="1272" t="s">
        <v>7</v>
      </c>
      <c r="C2468" s="1272"/>
      <c r="D2468" s="1272"/>
      <c r="E2468" s="492" t="s">
        <v>178</v>
      </c>
      <c r="F2468" s="492" t="s">
        <v>52</v>
      </c>
      <c r="G2468" s="503"/>
      <c r="H2468" s="185"/>
      <c r="I2468" s="1223" t="s">
        <v>56</v>
      </c>
      <c r="J2468" s="1224"/>
      <c r="K2468" s="1209" t="s">
        <v>180</v>
      </c>
      <c r="L2468" s="1210"/>
      <c r="M2468" s="50"/>
      <c r="N2468" s="50"/>
      <c r="O2468" s="5"/>
      <c r="P2468" s="9"/>
      <c r="Q2468" s="34"/>
      <c r="R2468" s="5"/>
      <c r="S2468" s="35"/>
    </row>
    <row r="2469" spans="1:21" ht="30" customHeight="1" x14ac:dyDescent="0.35">
      <c r="A2469" s="401" t="s">
        <v>181</v>
      </c>
      <c r="B2469" s="1265" t="s">
        <v>1137</v>
      </c>
      <c r="C2469" s="1265"/>
      <c r="D2469" s="1265"/>
      <c r="E2469" s="531">
        <v>71000</v>
      </c>
      <c r="F2469" s="981">
        <v>371</v>
      </c>
      <c r="G2469" s="655"/>
      <c r="H2469" s="533"/>
      <c r="I2469" s="1217" t="s">
        <v>2860</v>
      </c>
      <c r="J2469" s="1218"/>
      <c r="K2469" s="287">
        <f>+F2469</f>
        <v>371</v>
      </c>
      <c r="L2469" s="401" t="s">
        <v>108</v>
      </c>
      <c r="M2469" s="50"/>
      <c r="N2469" s="50"/>
      <c r="O2469" s="5"/>
      <c r="P2469" s="9"/>
      <c r="Q2469" s="34"/>
      <c r="R2469" s="5"/>
      <c r="S2469" s="35"/>
    </row>
    <row r="2470" spans="1:21" ht="30" customHeight="1" thickBot="1" x14ac:dyDescent="0.4">
      <c r="A2470" s="186"/>
      <c r="B2470" s="1264"/>
      <c r="C2470" s="1264"/>
      <c r="D2470" s="1264"/>
      <c r="E2470" s="535"/>
      <c r="F2470" s="536"/>
      <c r="G2470" s="536"/>
      <c r="H2470" s="537"/>
      <c r="I2470" s="503"/>
      <c r="J2470" s="494" t="s">
        <v>37</v>
      </c>
      <c r="K2470" s="193">
        <f>+K2469</f>
        <v>371</v>
      </c>
      <c r="L2470" s="186" t="s">
        <v>108</v>
      </c>
      <c r="M2470" s="50"/>
      <c r="N2470" s="50"/>
      <c r="O2470" s="5"/>
      <c r="P2470" s="9"/>
      <c r="Q2470" s="34"/>
      <c r="R2470" s="5"/>
      <c r="S2470" s="35"/>
    </row>
    <row r="2471" spans="1:21" ht="30" customHeight="1" thickBot="1" x14ac:dyDescent="0.4">
      <c r="A2471" s="1199"/>
      <c r="B2471" s="1200"/>
      <c r="C2471" s="1200"/>
      <c r="D2471" s="1200"/>
      <c r="E2471" s="1200"/>
      <c r="F2471" s="1200"/>
      <c r="G2471" s="1200"/>
      <c r="H2471" s="1200"/>
      <c r="I2471" s="1200"/>
      <c r="J2471" s="1200"/>
      <c r="K2471" s="1200"/>
      <c r="L2471" s="1201"/>
      <c r="M2471" s="50"/>
      <c r="N2471" s="50"/>
      <c r="O2471" s="5"/>
      <c r="P2471" s="9"/>
      <c r="Q2471" s="34"/>
      <c r="R2471" s="5"/>
      <c r="S2471" s="35"/>
    </row>
    <row r="2472" spans="1:21" ht="30" customHeight="1" x14ac:dyDescent="0.35">
      <c r="A2472" s="388" t="s">
        <v>1</v>
      </c>
      <c r="B2472" s="389">
        <v>4412</v>
      </c>
      <c r="C2472" s="1290" t="s">
        <v>1138</v>
      </c>
      <c r="D2472" s="1291"/>
      <c r="E2472" s="392" t="s">
        <v>3</v>
      </c>
      <c r="F2472" s="393" t="s">
        <v>108</v>
      </c>
      <c r="G2472" s="390" t="s">
        <v>38</v>
      </c>
      <c r="H2472" s="135">
        <v>12121.266403162001</v>
      </c>
      <c r="I2472" s="392" t="s">
        <v>5</v>
      </c>
      <c r="J2472" s="1637" t="s">
        <v>2538</v>
      </c>
      <c r="K2472" s="1637"/>
      <c r="L2472" s="1638"/>
      <c r="M2472" s="96"/>
      <c r="N2472" s="50"/>
      <c r="O2472" s="5"/>
      <c r="P2472" s="9"/>
      <c r="Q2472" s="34"/>
      <c r="R2472" s="5"/>
      <c r="S2472" s="35"/>
    </row>
    <row r="2473" spans="1:21" ht="30" customHeight="1" x14ac:dyDescent="0.35">
      <c r="A2473" s="185" t="s">
        <v>177</v>
      </c>
      <c r="B2473" s="1272" t="s">
        <v>7</v>
      </c>
      <c r="C2473" s="1272"/>
      <c r="D2473" s="1272"/>
      <c r="E2473" s="397" t="s">
        <v>52</v>
      </c>
      <c r="F2473" s="185" t="s">
        <v>178</v>
      </c>
      <c r="G2473" s="1292" t="s">
        <v>9</v>
      </c>
      <c r="H2473" s="1293"/>
      <c r="I2473" s="1221" t="s">
        <v>179</v>
      </c>
      <c r="J2473" s="1222"/>
      <c r="K2473" s="1209" t="s">
        <v>180</v>
      </c>
      <c r="L2473" s="1210"/>
      <c r="M2473" s="96"/>
      <c r="N2473" s="50"/>
      <c r="O2473" s="5"/>
      <c r="P2473" s="384"/>
      <c r="Q2473" s="396"/>
      <c r="R2473" s="396"/>
      <c r="S2473" s="396"/>
      <c r="T2473" s="396"/>
      <c r="U2473" s="396"/>
    </row>
    <row r="2474" spans="1:21" ht="30" customHeight="1" x14ac:dyDescent="0.35">
      <c r="A2474" s="244">
        <v>44222</v>
      </c>
      <c r="B2474" s="1558" t="s">
        <v>1126</v>
      </c>
      <c r="C2474" s="1558"/>
      <c r="D2474" s="1558"/>
      <c r="E2474" s="279">
        <v>233</v>
      </c>
      <c r="F2474" s="301">
        <v>2000</v>
      </c>
      <c r="G2474" s="974" t="s">
        <v>108</v>
      </c>
      <c r="H2474" s="974"/>
      <c r="I2474" s="1563">
        <f>+'FY2024 MILCON Inflation Table'!F22</f>
        <v>0.95834826759383673</v>
      </c>
      <c r="J2474" s="1563"/>
      <c r="K2474" s="300">
        <f>+E2474*I2474</f>
        <v>223.29514634936396</v>
      </c>
      <c r="L2474" s="975" t="s">
        <v>108</v>
      </c>
      <c r="M2474" s="50"/>
      <c r="N2474" s="50"/>
      <c r="O2474" s="5"/>
    </row>
    <row r="2475" spans="1:21" ht="30" customHeight="1" thickBot="1" x14ac:dyDescent="0.4">
      <c r="A2475" s="186"/>
      <c r="B2475" s="1564"/>
      <c r="C2475" s="1565"/>
      <c r="D2475" s="1566"/>
      <c r="E2475" s="520"/>
      <c r="F2475" s="784"/>
      <c r="G2475" s="520"/>
      <c r="H2475" s="750"/>
      <c r="I2475" s="503"/>
      <c r="J2475" s="494" t="s">
        <v>37</v>
      </c>
      <c r="K2475" s="190">
        <f>AVERAGE(K2474:K2474)</f>
        <v>223.29514634936396</v>
      </c>
      <c r="L2475" s="401" t="s">
        <v>108</v>
      </c>
      <c r="M2475" s="50"/>
      <c r="N2475" s="50"/>
      <c r="O2475" s="572"/>
      <c r="P2475" s="9"/>
      <c r="Q2475" s="34"/>
      <c r="R2475" s="5"/>
      <c r="S2475" s="35"/>
    </row>
    <row r="2476" spans="1:21" ht="30" customHeight="1" thickBot="1" x14ac:dyDescent="0.4">
      <c r="A2476" s="1199"/>
      <c r="B2476" s="1200"/>
      <c r="C2476" s="1200"/>
      <c r="D2476" s="1200"/>
      <c r="E2476" s="1200"/>
      <c r="F2476" s="1200"/>
      <c r="G2476" s="1200"/>
      <c r="H2476" s="1200"/>
      <c r="I2476" s="1200"/>
      <c r="J2476" s="1200"/>
      <c r="K2476" s="1200"/>
      <c r="L2476" s="1201"/>
      <c r="M2476" s="50"/>
      <c r="N2476" s="50"/>
      <c r="P2476" s="9"/>
      <c r="Q2476" s="34"/>
      <c r="R2476" s="5"/>
      <c r="S2476" s="35"/>
    </row>
    <row r="2477" spans="1:21" ht="30" customHeight="1" x14ac:dyDescent="0.35">
      <c r="A2477" s="388" t="s">
        <v>1</v>
      </c>
      <c r="B2477" s="389">
        <v>4413</v>
      </c>
      <c r="C2477" s="1205" t="s">
        <v>1139</v>
      </c>
      <c r="D2477" s="1206"/>
      <c r="E2477" s="392" t="s">
        <v>3</v>
      </c>
      <c r="F2477" s="393" t="s">
        <v>108</v>
      </c>
      <c r="G2477" s="390" t="s">
        <v>38</v>
      </c>
      <c r="H2477" s="132">
        <v>4299</v>
      </c>
      <c r="I2477" s="392" t="s">
        <v>5</v>
      </c>
      <c r="J2477" s="1207" t="s">
        <v>1140</v>
      </c>
      <c r="K2477" s="1207"/>
      <c r="L2477" s="1208"/>
      <c r="M2477" s="96"/>
      <c r="N2477" s="96"/>
      <c r="O2477" s="5"/>
      <c r="P2477" s="9"/>
      <c r="Q2477" s="34"/>
      <c r="R2477" s="5"/>
      <c r="S2477" s="35"/>
    </row>
    <row r="2478" spans="1:21" ht="30" customHeight="1" x14ac:dyDescent="0.35">
      <c r="A2478" s="185"/>
      <c r="B2478" s="1272" t="s">
        <v>7</v>
      </c>
      <c r="C2478" s="1272"/>
      <c r="D2478" s="1272"/>
      <c r="E2478" s="397" t="s">
        <v>52</v>
      </c>
      <c r="F2478" s="185" t="s">
        <v>178</v>
      </c>
      <c r="G2478" s="503"/>
      <c r="H2478" s="125"/>
      <c r="I2478" s="1221" t="s">
        <v>179</v>
      </c>
      <c r="J2478" s="1222"/>
      <c r="K2478" s="1209" t="s">
        <v>180</v>
      </c>
      <c r="L2478" s="1210"/>
      <c r="M2478" s="96"/>
      <c r="N2478" s="50"/>
      <c r="O2478" s="5"/>
      <c r="P2478" s="9"/>
      <c r="Q2478" s="34"/>
      <c r="R2478" s="5"/>
      <c r="S2478" s="35"/>
    </row>
    <row r="2479" spans="1:21" ht="30" customHeight="1" x14ac:dyDescent="0.35">
      <c r="A2479" s="407" t="s">
        <v>181</v>
      </c>
      <c r="B2479" s="1265" t="s">
        <v>1141</v>
      </c>
      <c r="C2479" s="1265"/>
      <c r="D2479" s="1265"/>
      <c r="E2479" s="221">
        <v>367</v>
      </c>
      <c r="F2479" s="498">
        <v>4300</v>
      </c>
      <c r="G2479" s="503"/>
      <c r="H2479" s="259"/>
      <c r="I2479" s="1604">
        <v>1.7467053391350638</v>
      </c>
      <c r="J2479" s="1604"/>
      <c r="K2479" s="982">
        <f>+E2479*I2479</f>
        <v>641.04085946256839</v>
      </c>
      <c r="L2479" s="407" t="s">
        <v>108</v>
      </c>
      <c r="M2479" s="50"/>
      <c r="N2479" s="50"/>
      <c r="O2479" s="5"/>
      <c r="P2479" s="9"/>
      <c r="Q2479" s="34"/>
      <c r="R2479" s="5"/>
      <c r="S2479" s="35"/>
    </row>
    <row r="2480" spans="1:21" ht="30" customHeight="1" thickBot="1" x14ac:dyDescent="0.4">
      <c r="A2480" s="186"/>
      <c r="B2480" s="1264"/>
      <c r="C2480" s="1264"/>
      <c r="D2480" s="1264"/>
      <c r="E2480" s="535"/>
      <c r="F2480" s="536"/>
      <c r="G2480" s="536"/>
      <c r="H2480" s="537"/>
      <c r="I2480" s="503"/>
      <c r="J2480" s="494" t="s">
        <v>37</v>
      </c>
      <c r="K2480" s="190">
        <f>+K2479</f>
        <v>641.04085946256839</v>
      </c>
      <c r="L2480" s="186" t="s">
        <v>108</v>
      </c>
      <c r="M2480" s="50"/>
      <c r="N2480" s="50"/>
      <c r="O2480" s="572"/>
      <c r="P2480" s="9"/>
      <c r="Q2480" s="34"/>
      <c r="R2480" s="5"/>
      <c r="S2480" s="35"/>
    </row>
    <row r="2481" spans="1:19" ht="30" customHeight="1" thickBot="1" x14ac:dyDescent="0.4">
      <c r="A2481" s="1199"/>
      <c r="B2481" s="1200"/>
      <c r="C2481" s="1200"/>
      <c r="D2481" s="1200"/>
      <c r="E2481" s="1200"/>
      <c r="F2481" s="1200"/>
      <c r="G2481" s="1200"/>
      <c r="H2481" s="1200"/>
      <c r="I2481" s="1200"/>
      <c r="J2481" s="1200"/>
      <c r="K2481" s="1200"/>
      <c r="L2481" s="1201"/>
      <c r="M2481" s="50"/>
      <c r="N2481" s="50"/>
      <c r="P2481" s="9"/>
      <c r="Q2481" s="34"/>
      <c r="R2481" s="5"/>
      <c r="S2481" s="35"/>
    </row>
    <row r="2482" spans="1:19" ht="30" customHeight="1" x14ac:dyDescent="0.35">
      <c r="A2482" s="971" t="s">
        <v>1</v>
      </c>
      <c r="B2482" s="971">
        <v>4414</v>
      </c>
      <c r="C2482" s="1636" t="s">
        <v>1142</v>
      </c>
      <c r="D2482" s="1636"/>
      <c r="E2482" s="856" t="s">
        <v>3</v>
      </c>
      <c r="F2482" s="857" t="s">
        <v>108</v>
      </c>
      <c r="G2482" s="689" t="s">
        <v>38</v>
      </c>
      <c r="H2482" s="983">
        <v>21481</v>
      </c>
      <c r="I2482" s="856" t="s">
        <v>5</v>
      </c>
      <c r="J2482" s="1207" t="s">
        <v>186</v>
      </c>
      <c r="K2482" s="1207"/>
      <c r="L2482" s="1208"/>
      <c r="M2482" s="50"/>
      <c r="N2482" s="50"/>
      <c r="O2482" s="5"/>
      <c r="P2482" s="9"/>
      <c r="Q2482" s="34"/>
      <c r="R2482" s="5"/>
      <c r="S2482" s="35"/>
    </row>
    <row r="2483" spans="1:19" ht="30" customHeight="1" x14ac:dyDescent="0.35">
      <c r="A2483" s="494" t="s">
        <v>187</v>
      </c>
      <c r="B2483" s="1280" t="s">
        <v>211</v>
      </c>
      <c r="C2483" s="1281"/>
      <c r="D2483" s="1282"/>
      <c r="E2483" s="566" t="s">
        <v>52</v>
      </c>
      <c r="F2483" s="566" t="s">
        <v>53</v>
      </c>
      <c r="G2483" s="1219" t="s">
        <v>54</v>
      </c>
      <c r="H2483" s="1220"/>
      <c r="I2483" s="878" t="s">
        <v>1051</v>
      </c>
      <c r="J2483" s="185" t="s">
        <v>188</v>
      </c>
      <c r="K2483" s="1209" t="s">
        <v>180</v>
      </c>
      <c r="L2483" s="1210"/>
      <c r="M2483" s="50"/>
      <c r="N2483" s="50"/>
      <c r="O2483" s="5"/>
      <c r="P2483" s="9"/>
      <c r="Q2483" s="34"/>
      <c r="R2483" s="5"/>
      <c r="S2483" s="35"/>
    </row>
    <row r="2484" spans="1:19" ht="30" customHeight="1" x14ac:dyDescent="0.35">
      <c r="A2484" s="186" t="s">
        <v>1133</v>
      </c>
      <c r="B2484" s="1212" t="s">
        <v>1143</v>
      </c>
      <c r="C2484" s="1213"/>
      <c r="D2484" s="1214"/>
      <c r="E2484" s="194">
        <v>86.5</v>
      </c>
      <c r="F2484" s="186" t="s">
        <v>108</v>
      </c>
      <c r="H2484" s="186"/>
      <c r="I2484" s="186"/>
      <c r="J2484" s="204">
        <v>1.1749999999999998</v>
      </c>
      <c r="K2484" s="194">
        <f>+E2484*J2484</f>
        <v>101.63749999999999</v>
      </c>
      <c r="L2484" s="186" t="s">
        <v>108</v>
      </c>
      <c r="M2484" s="50"/>
      <c r="N2484" s="50"/>
      <c r="O2484" s="5"/>
      <c r="P2484" s="9"/>
      <c r="Q2484" s="34"/>
      <c r="R2484" s="5"/>
      <c r="S2484" s="35"/>
    </row>
    <row r="2485" spans="1:19" ht="30" customHeight="1" x14ac:dyDescent="0.35">
      <c r="A2485" s="186" t="s">
        <v>268</v>
      </c>
      <c r="B2485" s="1212" t="s">
        <v>1144</v>
      </c>
      <c r="C2485" s="1213"/>
      <c r="D2485" s="1214"/>
      <c r="E2485" s="194">
        <f>(24+37.25)/2</f>
        <v>30.625</v>
      </c>
      <c r="F2485" s="186" t="s">
        <v>269</v>
      </c>
      <c r="G2485" s="875">
        <f>13*81</f>
        <v>1053</v>
      </c>
      <c r="H2485" s="136" t="s">
        <v>1145</v>
      </c>
      <c r="I2485" s="138">
        <f t="shared" ref="I2485:I2490" si="57">+E2485*G2485/$H$2482</f>
        <v>1.5012394674363392</v>
      </c>
      <c r="J2485" s="186">
        <v>1.07</v>
      </c>
      <c r="K2485" s="194">
        <f t="shared" ref="K2485:K2490" si="58">+I2485*J2485</f>
        <v>1.606326230156883</v>
      </c>
      <c r="L2485" s="186" t="s">
        <v>108</v>
      </c>
      <c r="M2485" s="50"/>
      <c r="N2485" s="50"/>
      <c r="O2485" s="5"/>
      <c r="P2485" s="9"/>
      <c r="Q2485" s="34"/>
      <c r="R2485" s="5"/>
      <c r="S2485" s="35"/>
    </row>
    <row r="2486" spans="1:19" ht="30" customHeight="1" x14ac:dyDescent="0.35">
      <c r="A2486" s="186" t="s">
        <v>268</v>
      </c>
      <c r="B2486" s="1212" t="s">
        <v>1048</v>
      </c>
      <c r="C2486" s="1213"/>
      <c r="D2486" s="1214"/>
      <c r="E2486" s="194">
        <f>(2020+2850)/2</f>
        <v>2435</v>
      </c>
      <c r="F2486" s="186" t="s">
        <v>40</v>
      </c>
      <c r="G2486" s="503">
        <v>13</v>
      </c>
      <c r="H2486" s="136" t="s">
        <v>40</v>
      </c>
      <c r="I2486" s="138">
        <f>+E2486*G2486/$H$2482</f>
        <v>1.4736278571761092</v>
      </c>
      <c r="J2486" s="186">
        <v>1.07</v>
      </c>
      <c r="K2486" s="194">
        <f>+I2486*J2486</f>
        <v>1.576781807178437</v>
      </c>
      <c r="L2486" s="186" t="s">
        <v>108</v>
      </c>
      <c r="M2486" s="50"/>
      <c r="N2486" s="50"/>
      <c r="O2486" s="5"/>
      <c r="P2486" s="9"/>
      <c r="Q2486" s="34"/>
      <c r="R2486" s="5"/>
      <c r="S2486" s="35"/>
    </row>
    <row r="2487" spans="1:19" ht="30" customHeight="1" x14ac:dyDescent="0.35">
      <c r="A2487" s="186" t="s">
        <v>271</v>
      </c>
      <c r="B2487" s="1202" t="s">
        <v>1146</v>
      </c>
      <c r="C2487" s="1203"/>
      <c r="D2487" s="1204"/>
      <c r="E2487" s="194">
        <f>+(34.5+82)/2</f>
        <v>58.25</v>
      </c>
      <c r="F2487" s="186" t="s">
        <v>40</v>
      </c>
      <c r="G2487" s="261">
        <f>13*10</f>
        <v>130</v>
      </c>
      <c r="H2487" s="136" t="s">
        <v>28</v>
      </c>
      <c r="I2487" s="138">
        <f t="shared" si="57"/>
        <v>0.35252083236348403</v>
      </c>
      <c r="J2487" s="186">
        <v>1.21</v>
      </c>
      <c r="K2487" s="194">
        <f t="shared" si="58"/>
        <v>0.42655020715981568</v>
      </c>
      <c r="L2487" s="186" t="s">
        <v>108</v>
      </c>
      <c r="M2487" s="50"/>
      <c r="N2487" s="50"/>
      <c r="O2487" s="5"/>
      <c r="P2487" s="9"/>
      <c r="Q2487" s="34"/>
      <c r="R2487" s="5"/>
      <c r="S2487" s="35"/>
    </row>
    <row r="2488" spans="1:19" ht="30" customHeight="1" x14ac:dyDescent="0.35">
      <c r="A2488" s="186" t="s">
        <v>271</v>
      </c>
      <c r="B2488" s="373" t="s">
        <v>272</v>
      </c>
      <c r="C2488" s="374"/>
      <c r="D2488" s="375"/>
      <c r="E2488" s="194">
        <f>+(6450+12300)/2</f>
        <v>9375</v>
      </c>
      <c r="F2488" s="186" t="s">
        <v>40</v>
      </c>
      <c r="G2488" s="503">
        <v>13</v>
      </c>
      <c r="H2488" s="136" t="s">
        <v>40</v>
      </c>
      <c r="I2488" s="138">
        <f t="shared" si="57"/>
        <v>5.6736185466225963</v>
      </c>
      <c r="J2488" s="186">
        <v>1.21</v>
      </c>
      <c r="K2488" s="194">
        <f t="shared" si="58"/>
        <v>6.865078441413341</v>
      </c>
      <c r="L2488" s="186" t="s">
        <v>108</v>
      </c>
      <c r="M2488" s="50"/>
      <c r="N2488" s="50"/>
      <c r="O2488" s="5"/>
      <c r="P2488" s="9"/>
      <c r="Q2488" s="34"/>
      <c r="R2488" s="5"/>
      <c r="S2488" s="35"/>
    </row>
    <row r="2489" spans="1:19" ht="30" customHeight="1" x14ac:dyDescent="0.35">
      <c r="A2489" s="186" t="s">
        <v>271</v>
      </c>
      <c r="B2489" s="1202" t="s">
        <v>1147</v>
      </c>
      <c r="C2489" s="1203"/>
      <c r="D2489" s="1204"/>
      <c r="E2489" s="194">
        <f>+(660+1010)/2</f>
        <v>835</v>
      </c>
      <c r="F2489" s="186" t="s">
        <v>40</v>
      </c>
      <c r="G2489" s="503">
        <v>13</v>
      </c>
      <c r="H2489" s="136" t="s">
        <v>40</v>
      </c>
      <c r="I2489" s="138">
        <f t="shared" si="57"/>
        <v>0.50533029188585266</v>
      </c>
      <c r="J2489" s="186">
        <v>1.21</v>
      </c>
      <c r="K2489" s="194">
        <f t="shared" si="58"/>
        <v>0.61144965318188171</v>
      </c>
      <c r="L2489" s="186" t="s">
        <v>108</v>
      </c>
      <c r="M2489" s="50"/>
      <c r="N2489" s="50"/>
      <c r="O2489" s="5"/>
      <c r="P2489" s="9"/>
      <c r="Q2489" s="34"/>
      <c r="R2489" s="5"/>
      <c r="S2489" s="35"/>
    </row>
    <row r="2490" spans="1:19" ht="30" customHeight="1" x14ac:dyDescent="0.35">
      <c r="A2490" s="186" t="s">
        <v>271</v>
      </c>
      <c r="B2490" s="1202" t="s">
        <v>273</v>
      </c>
      <c r="C2490" s="1203"/>
      <c r="D2490" s="1204"/>
      <c r="E2490" s="194">
        <f>+(1160+3475)/2</f>
        <v>2317.5</v>
      </c>
      <c r="F2490" s="186" t="s">
        <v>40</v>
      </c>
      <c r="G2490" s="503">
        <v>13</v>
      </c>
      <c r="H2490" s="136" t="s">
        <v>40</v>
      </c>
      <c r="I2490" s="138">
        <f t="shared" si="57"/>
        <v>1.4025185047251059</v>
      </c>
      <c r="J2490" s="186">
        <v>1.21</v>
      </c>
      <c r="K2490" s="194">
        <f t="shared" si="58"/>
        <v>1.697047390717378</v>
      </c>
      <c r="L2490" s="186" t="s">
        <v>108</v>
      </c>
      <c r="M2490" s="50"/>
      <c r="N2490" s="50"/>
      <c r="O2490" s="5"/>
      <c r="P2490" s="9"/>
      <c r="Q2490" s="34"/>
      <c r="R2490" s="5"/>
      <c r="S2490" s="35"/>
    </row>
    <row r="2491" spans="1:19" ht="30" customHeight="1" x14ac:dyDescent="0.35">
      <c r="A2491" s="186" t="s">
        <v>249</v>
      </c>
      <c r="B2491" s="1202" t="s">
        <v>1003</v>
      </c>
      <c r="C2491" s="1203"/>
      <c r="D2491" s="1203"/>
      <c r="E2491" s="194">
        <v>3.85</v>
      </c>
      <c r="F2491" s="186" t="s">
        <v>108</v>
      </c>
      <c r="G2491" s="503"/>
      <c r="H2491" s="534"/>
      <c r="I2491" s="534"/>
      <c r="J2491" s="204">
        <v>1.1749999999999998</v>
      </c>
      <c r="K2491" s="194">
        <f>+E2491*J2491</f>
        <v>4.5237499999999997</v>
      </c>
      <c r="L2491" s="186" t="s">
        <v>108</v>
      </c>
      <c r="M2491" s="50"/>
      <c r="N2491" s="50"/>
      <c r="O2491" s="5"/>
      <c r="P2491" s="9"/>
      <c r="Q2491" s="34"/>
      <c r="R2491" s="5"/>
      <c r="S2491" s="35"/>
    </row>
    <row r="2492" spans="1:19" ht="30" customHeight="1" x14ac:dyDescent="0.35">
      <c r="A2492" s="186"/>
      <c r="B2492" s="1264"/>
      <c r="C2492" s="1264"/>
      <c r="D2492" s="1264"/>
      <c r="E2492" s="194"/>
      <c r="F2492" s="503"/>
      <c r="G2492" s="534"/>
      <c r="H2492" s="534"/>
      <c r="I2492" s="186"/>
      <c r="J2492" s="186" t="s">
        <v>223</v>
      </c>
      <c r="K2492" s="194">
        <f>SUM(K2484:K2491)</f>
        <v>118.94448372980773</v>
      </c>
      <c r="L2492" s="186" t="s">
        <v>108</v>
      </c>
      <c r="M2492" s="50"/>
      <c r="N2492" s="50"/>
      <c r="O2492" s="5"/>
      <c r="P2492" s="9"/>
      <c r="Q2492" s="34"/>
      <c r="R2492" s="5"/>
      <c r="S2492" s="35"/>
    </row>
    <row r="2493" spans="1:19" ht="30" customHeight="1" x14ac:dyDescent="0.35">
      <c r="A2493" s="186"/>
      <c r="B2493" s="567"/>
      <c r="C2493" s="567"/>
      <c r="D2493" s="567"/>
      <c r="E2493" s="567"/>
      <c r="F2493" s="1215" t="s">
        <v>195</v>
      </c>
      <c r="G2493" s="1273" t="s">
        <v>196</v>
      </c>
      <c r="H2493" s="1273"/>
      <c r="I2493" s="1273"/>
      <c r="J2493" s="1273"/>
      <c r="K2493" s="204">
        <f>(1.05+1.08)/2</f>
        <v>1.0649999999999999</v>
      </c>
      <c r="L2493" s="186"/>
      <c r="M2493" s="50"/>
      <c r="N2493" s="50"/>
      <c r="O2493" s="5"/>
      <c r="P2493" s="9"/>
      <c r="Q2493" s="34"/>
      <c r="R2493" s="5"/>
      <c r="S2493" s="35"/>
    </row>
    <row r="2494" spans="1:19" ht="30" customHeight="1" x14ac:dyDescent="0.35">
      <c r="A2494" s="186"/>
      <c r="B2494" s="567"/>
      <c r="C2494" s="567"/>
      <c r="D2494" s="567"/>
      <c r="E2494" s="567"/>
      <c r="F2494" s="1216"/>
      <c r="G2494" s="1268" t="s">
        <v>197</v>
      </c>
      <c r="H2494" s="1268"/>
      <c r="I2494" s="1268"/>
      <c r="J2494" s="1268"/>
      <c r="K2494" s="196">
        <v>1.06</v>
      </c>
      <c r="L2494" s="186"/>
      <c r="M2494" s="50"/>
    </row>
    <row r="2495" spans="1:19" ht="30" customHeight="1" x14ac:dyDescent="0.35">
      <c r="A2495" s="186"/>
      <c r="B2495" s="186"/>
      <c r="C2495" s="503"/>
      <c r="D2495" s="503"/>
      <c r="E2495" s="503"/>
      <c r="F2495" s="503"/>
      <c r="G2495" s="503"/>
      <c r="H2495" s="503"/>
      <c r="I2495" s="503"/>
      <c r="J2495" s="186" t="s">
        <v>37</v>
      </c>
      <c r="K2495" s="193">
        <f>+K2492*K2493/K2494</f>
        <v>119.50554261532568</v>
      </c>
      <c r="L2495" s="186" t="s">
        <v>108</v>
      </c>
      <c r="M2495" s="50"/>
      <c r="N2495" s="50"/>
      <c r="O2495" s="5"/>
      <c r="P2495" s="9"/>
      <c r="Q2495" s="34"/>
      <c r="R2495" s="5"/>
      <c r="S2495" s="35"/>
    </row>
    <row r="2496" spans="1:19" ht="30" customHeight="1" x14ac:dyDescent="0.35">
      <c r="A2496" s="186"/>
      <c r="B2496" s="186"/>
      <c r="C2496" s="503"/>
      <c r="D2496" s="503"/>
      <c r="E2496" s="503"/>
      <c r="F2496" s="503"/>
      <c r="G2496" s="1374" t="s">
        <v>257</v>
      </c>
      <c r="H2496" s="1375"/>
      <c r="I2496" s="1376"/>
      <c r="J2496" s="560">
        <f>VLOOKUP(B2482,'Mil Cost Premiums for PUCs'!$A$4:$R$285,18,FALSE)</f>
        <v>1.168693068754227</v>
      </c>
      <c r="K2496" s="193">
        <f>+K2495*J2496</f>
        <v>139.66529933224402</v>
      </c>
      <c r="L2496" s="186" t="s">
        <v>108</v>
      </c>
      <c r="M2496" s="96"/>
      <c r="N2496" s="50"/>
      <c r="O2496" s="5"/>
      <c r="P2496" s="9"/>
      <c r="Q2496" s="34"/>
      <c r="R2496" s="5"/>
      <c r="S2496" s="35"/>
    </row>
    <row r="2497" spans="1:25" ht="30" customHeight="1" x14ac:dyDescent="0.35">
      <c r="A2497" s="569"/>
      <c r="B2497" s="569"/>
      <c r="C2497" s="510"/>
      <c r="D2497" s="510"/>
      <c r="E2497" s="510"/>
      <c r="F2497" s="510"/>
      <c r="G2497" s="1191" t="s">
        <v>2817</v>
      </c>
      <c r="H2497" s="1192"/>
      <c r="I2497" s="1193"/>
      <c r="J2497" s="570">
        <v>1.1214</v>
      </c>
      <c r="K2497" s="285">
        <f>+K2496*J2497</f>
        <v>156.62066667117844</v>
      </c>
      <c r="L2497" s="186" t="s">
        <v>108</v>
      </c>
      <c r="M2497" s="50"/>
      <c r="N2497" s="50"/>
      <c r="O2497" s="5"/>
      <c r="P2497" s="9"/>
      <c r="Q2497" s="34"/>
      <c r="R2497" s="5"/>
      <c r="S2497" s="35"/>
    </row>
    <row r="2498" spans="1:25" ht="30" customHeight="1" x14ac:dyDescent="0.35">
      <c r="A2498" s="569"/>
      <c r="B2498" s="569"/>
      <c r="C2498" s="510"/>
      <c r="D2498" s="510"/>
      <c r="E2498" s="510"/>
      <c r="F2498" s="510"/>
      <c r="G2498" s="1191" t="s">
        <v>3000</v>
      </c>
      <c r="H2498" s="1192"/>
      <c r="I2498" s="1193"/>
      <c r="J2498" s="570">
        <v>1.0438745311870361</v>
      </c>
      <c r="K2498" s="285">
        <f>+K2497*J2498</f>
        <v>163.49232499557743</v>
      </c>
      <c r="L2498" s="186" t="s">
        <v>108</v>
      </c>
      <c r="M2498" s="50"/>
      <c r="N2498" s="50"/>
      <c r="O2498" s="5"/>
      <c r="P2498" s="9"/>
      <c r="Q2498" s="34"/>
      <c r="R2498" s="5"/>
      <c r="S2498" s="35"/>
    </row>
    <row r="2499" spans="1:25" ht="30" customHeight="1" x14ac:dyDescent="0.35">
      <c r="A2499" s="1274" t="s">
        <v>198</v>
      </c>
      <c r="B2499" s="1275"/>
      <c r="C2499" s="1275"/>
      <c r="D2499" s="1275"/>
      <c r="E2499" s="1275"/>
      <c r="F2499" s="1275"/>
      <c r="G2499" s="1275"/>
      <c r="H2499" s="1275"/>
      <c r="I2499" s="1275"/>
      <c r="J2499" s="1275"/>
      <c r="K2499" s="1275"/>
      <c r="L2499" s="1276"/>
      <c r="M2499" s="50"/>
      <c r="N2499" s="50"/>
      <c r="O2499" s="5"/>
      <c r="P2499" s="9"/>
      <c r="Q2499" s="34"/>
      <c r="R2499" s="5"/>
      <c r="S2499" s="35"/>
    </row>
    <row r="2500" spans="1:25" ht="30" customHeight="1" x14ac:dyDescent="0.35">
      <c r="A2500" s="1389" t="s">
        <v>199</v>
      </c>
      <c r="B2500" s="1390"/>
      <c r="C2500" s="1391"/>
      <c r="D2500" s="1274" t="s">
        <v>1148</v>
      </c>
      <c r="E2500" s="1275"/>
      <c r="F2500" s="1275"/>
      <c r="G2500" s="1275"/>
      <c r="H2500" s="1275"/>
      <c r="I2500" s="1275"/>
      <c r="J2500" s="1275"/>
      <c r="K2500" s="1275"/>
      <c r="L2500" s="1276"/>
      <c r="M2500" s="50"/>
      <c r="N2500" s="50"/>
      <c r="O2500" s="5"/>
      <c r="P2500" s="9"/>
      <c r="Q2500" s="34"/>
      <c r="R2500" s="5"/>
      <c r="S2500" s="35"/>
    </row>
    <row r="2501" spans="1:25" ht="30" customHeight="1" x14ac:dyDescent="0.35">
      <c r="A2501" s="1389" t="s">
        <v>200</v>
      </c>
      <c r="B2501" s="1390"/>
      <c r="C2501" s="1391"/>
      <c r="D2501" s="1274" t="s">
        <v>1149</v>
      </c>
      <c r="E2501" s="1275"/>
      <c r="F2501" s="1275"/>
      <c r="G2501" s="1275"/>
      <c r="H2501" s="1275"/>
      <c r="I2501" s="1275"/>
      <c r="J2501" s="1275"/>
      <c r="K2501" s="1275"/>
      <c r="L2501" s="1276"/>
      <c r="M2501" s="50"/>
      <c r="N2501" s="50"/>
      <c r="O2501" s="5"/>
      <c r="P2501" s="9"/>
      <c r="Q2501" s="34"/>
      <c r="R2501" s="5"/>
      <c r="S2501" s="35"/>
    </row>
    <row r="2502" spans="1:25" ht="30" customHeight="1" x14ac:dyDescent="0.35">
      <c r="A2502" s="1389" t="s">
        <v>201</v>
      </c>
      <c r="B2502" s="1390"/>
      <c r="C2502" s="1391"/>
      <c r="D2502" s="1274" t="s">
        <v>1150</v>
      </c>
      <c r="E2502" s="1275"/>
      <c r="F2502" s="1275"/>
      <c r="G2502" s="1275"/>
      <c r="H2502" s="1275"/>
      <c r="I2502" s="1275"/>
      <c r="J2502" s="1275"/>
      <c r="K2502" s="1275"/>
      <c r="L2502" s="1276"/>
      <c r="M2502" s="50"/>
      <c r="O2502" s="5"/>
      <c r="P2502" s="9"/>
      <c r="Q2502" s="34"/>
      <c r="R2502" s="5"/>
      <c r="S2502" s="35"/>
    </row>
    <row r="2503" spans="1:25" ht="30" customHeight="1" x14ac:dyDescent="0.35">
      <c r="A2503" s="1389" t="s">
        <v>202</v>
      </c>
      <c r="B2503" s="1390"/>
      <c r="C2503" s="1391"/>
      <c r="D2503" s="1274" t="s">
        <v>1151</v>
      </c>
      <c r="E2503" s="1275"/>
      <c r="F2503" s="1275"/>
      <c r="G2503" s="1275"/>
      <c r="H2503" s="1275"/>
      <c r="I2503" s="1275"/>
      <c r="J2503" s="1275"/>
      <c r="K2503" s="1275"/>
      <c r="L2503" s="1276"/>
      <c r="M2503" s="50"/>
      <c r="N2503" s="50"/>
    </row>
    <row r="2504" spans="1:25" ht="30" customHeight="1" x14ac:dyDescent="0.35">
      <c r="A2504" s="1389" t="s">
        <v>203</v>
      </c>
      <c r="B2504" s="1390"/>
      <c r="C2504" s="1391"/>
      <c r="D2504" s="1274" t="s">
        <v>1152</v>
      </c>
      <c r="E2504" s="1275"/>
      <c r="F2504" s="1275"/>
      <c r="G2504" s="1275"/>
      <c r="H2504" s="1275"/>
      <c r="I2504" s="1275"/>
      <c r="J2504" s="1275"/>
      <c r="K2504" s="1275"/>
      <c r="L2504" s="1276"/>
      <c r="M2504" s="50"/>
      <c r="N2504" s="50"/>
      <c r="O2504" s="5"/>
      <c r="P2504" s="9"/>
      <c r="Q2504" s="34"/>
      <c r="R2504" s="5"/>
      <c r="S2504" s="35"/>
    </row>
    <row r="2505" spans="1:25" ht="30" customHeight="1" x14ac:dyDescent="0.35">
      <c r="A2505" s="1389" t="s">
        <v>205</v>
      </c>
      <c r="B2505" s="1390"/>
      <c r="C2505" s="1391"/>
      <c r="D2505" s="1274" t="s">
        <v>278</v>
      </c>
      <c r="E2505" s="1275"/>
      <c r="F2505" s="1275"/>
      <c r="G2505" s="1275"/>
      <c r="H2505" s="1275"/>
      <c r="I2505" s="1275"/>
      <c r="J2505" s="1275"/>
      <c r="K2505" s="1275"/>
      <c r="L2505" s="1276"/>
      <c r="M2505" s="50"/>
      <c r="N2505" s="50"/>
      <c r="O2505" s="5"/>
      <c r="P2505" s="9"/>
      <c r="Q2505" s="34"/>
      <c r="R2505" s="5"/>
      <c r="S2505" s="35"/>
    </row>
    <row r="2506" spans="1:25" ht="30" customHeight="1" x14ac:dyDescent="0.35">
      <c r="A2506" s="1389" t="s">
        <v>207</v>
      </c>
      <c r="B2506" s="1390"/>
      <c r="C2506" s="1391"/>
      <c r="D2506" s="1274" t="s">
        <v>1153</v>
      </c>
      <c r="E2506" s="1275"/>
      <c r="F2506" s="1275"/>
      <c r="G2506" s="1275"/>
      <c r="H2506" s="1275"/>
      <c r="I2506" s="1275"/>
      <c r="J2506" s="1275"/>
      <c r="K2506" s="1275"/>
      <c r="L2506" s="1276"/>
      <c r="M2506" s="50"/>
      <c r="N2506" s="50"/>
      <c r="O2506" s="5"/>
      <c r="P2506" s="9"/>
      <c r="Q2506" s="34"/>
      <c r="R2506" s="5"/>
      <c r="S2506" s="35"/>
    </row>
    <row r="2507" spans="1:25" ht="30" customHeight="1" x14ac:dyDescent="0.35">
      <c r="A2507" s="1389" t="s">
        <v>208</v>
      </c>
      <c r="B2507" s="1390"/>
      <c r="C2507" s="1391"/>
      <c r="D2507" s="1274" t="s">
        <v>265</v>
      </c>
      <c r="E2507" s="1275"/>
      <c r="F2507" s="1275"/>
      <c r="G2507" s="1275"/>
      <c r="H2507" s="1275"/>
      <c r="I2507" s="1275"/>
      <c r="J2507" s="1275"/>
      <c r="K2507" s="1275"/>
      <c r="L2507" s="1276"/>
      <c r="M2507" s="50"/>
      <c r="N2507" s="50"/>
      <c r="O2507" s="5"/>
      <c r="P2507" s="9"/>
      <c r="Q2507" s="34"/>
      <c r="R2507" s="5"/>
      <c r="S2507" s="35"/>
    </row>
    <row r="2508" spans="1:25" ht="30" customHeight="1" thickBot="1" x14ac:dyDescent="0.4">
      <c r="A2508" s="1605" t="s">
        <v>224</v>
      </c>
      <c r="B2508" s="1606"/>
      <c r="C2508" s="1607"/>
      <c r="D2508" s="1553" t="s">
        <v>2447</v>
      </c>
      <c r="E2508" s="1554"/>
      <c r="F2508" s="1554"/>
      <c r="G2508" s="1554"/>
      <c r="H2508" s="1554"/>
      <c r="I2508" s="1554"/>
      <c r="J2508" s="1554"/>
      <c r="K2508" s="1554"/>
      <c r="L2508" s="1555"/>
      <c r="M2508" s="50"/>
      <c r="N2508" s="50"/>
      <c r="O2508" s="5"/>
      <c r="P2508" s="9"/>
      <c r="Q2508" s="34"/>
      <c r="R2508" s="5"/>
      <c r="S2508" s="35"/>
    </row>
    <row r="2509" spans="1:25" ht="30" customHeight="1" thickBot="1" x14ac:dyDescent="0.4">
      <c r="A2509" s="1199"/>
      <c r="B2509" s="1200"/>
      <c r="C2509" s="1200"/>
      <c r="D2509" s="1200"/>
      <c r="E2509" s="1200"/>
      <c r="F2509" s="1200"/>
      <c r="G2509" s="1200"/>
      <c r="H2509" s="1200"/>
      <c r="I2509" s="1200"/>
      <c r="J2509" s="1200"/>
      <c r="K2509" s="1200"/>
      <c r="L2509" s="1201"/>
      <c r="M2509" s="50"/>
      <c r="N2509" s="50"/>
      <c r="O2509" s="5"/>
      <c r="P2509" s="9"/>
      <c r="Q2509" s="34"/>
      <c r="R2509" s="5"/>
      <c r="S2509" s="35"/>
      <c r="X2509" s="396"/>
      <c r="Y2509" s="396"/>
    </row>
    <row r="2510" spans="1:25" s="396" customFormat="1" ht="30" customHeight="1" x14ac:dyDescent="0.35">
      <c r="A2510" s="388" t="s">
        <v>1</v>
      </c>
      <c r="B2510" s="389">
        <v>4421</v>
      </c>
      <c r="C2510" s="1290" t="s">
        <v>1154</v>
      </c>
      <c r="D2510" s="1291"/>
      <c r="E2510" s="392" t="s">
        <v>3</v>
      </c>
      <c r="F2510" s="393" t="s">
        <v>108</v>
      </c>
      <c r="G2510" s="390" t="s">
        <v>38</v>
      </c>
      <c r="H2510" s="134">
        <v>8731.3649924900401</v>
      </c>
      <c r="I2510" s="392" t="s">
        <v>5</v>
      </c>
      <c r="J2510" s="1207" t="s">
        <v>2861</v>
      </c>
      <c r="K2510" s="1207"/>
      <c r="L2510" s="1208"/>
      <c r="M2510" s="50"/>
      <c r="N2510" s="50"/>
      <c r="O2510" s="5"/>
      <c r="P2510" s="9"/>
      <c r="Q2510" s="34"/>
      <c r="R2510" s="5"/>
      <c r="S2510" s="35"/>
      <c r="T2510" s="9"/>
      <c r="U2510" s="9"/>
      <c r="V2510" s="9"/>
      <c r="W2510" s="9"/>
      <c r="X2510" s="9"/>
      <c r="Y2510" s="9"/>
    </row>
    <row r="2511" spans="1:25" ht="30" customHeight="1" x14ac:dyDescent="0.35">
      <c r="A2511" s="185" t="s">
        <v>177</v>
      </c>
      <c r="B2511" s="1272" t="s">
        <v>7</v>
      </c>
      <c r="C2511" s="1272"/>
      <c r="D2511" s="1272"/>
      <c r="E2511" s="492" t="s">
        <v>178</v>
      </c>
      <c r="F2511" s="397" t="s">
        <v>52</v>
      </c>
      <c r="G2511" s="185"/>
      <c r="H2511" s="185"/>
      <c r="I2511" s="1223" t="s">
        <v>56</v>
      </c>
      <c r="J2511" s="1224"/>
      <c r="K2511" s="1209" t="s">
        <v>180</v>
      </c>
      <c r="L2511" s="1210"/>
      <c r="M2511" s="50"/>
      <c r="N2511" s="50"/>
      <c r="O2511" s="5"/>
      <c r="P2511" s="9"/>
      <c r="Q2511" s="34"/>
      <c r="R2511" s="5"/>
      <c r="S2511" s="35"/>
    </row>
    <row r="2512" spans="1:25" ht="30" customHeight="1" x14ac:dyDescent="0.35">
      <c r="A2512" s="401" t="s">
        <v>181</v>
      </c>
      <c r="B2512" s="1265" t="s">
        <v>1155</v>
      </c>
      <c r="C2512" s="1265"/>
      <c r="D2512" s="1265"/>
      <c r="E2512" s="531">
        <v>4700</v>
      </c>
      <c r="F2512" s="187">
        <v>330</v>
      </c>
      <c r="G2512" s="532"/>
      <c r="H2512" s="533"/>
      <c r="I2512" s="1217" t="s">
        <v>2860</v>
      </c>
      <c r="J2512" s="1218"/>
      <c r="K2512" s="187">
        <f>+F2512</f>
        <v>330</v>
      </c>
      <c r="L2512" s="401" t="s">
        <v>108</v>
      </c>
      <c r="M2512" s="50"/>
      <c r="N2512" s="50"/>
      <c r="O2512" s="5"/>
      <c r="P2512" s="9"/>
      <c r="Q2512" s="34"/>
      <c r="R2512" s="5"/>
      <c r="S2512" s="35"/>
    </row>
    <row r="2513" spans="1:25" ht="30" customHeight="1" thickBot="1" x14ac:dyDescent="0.4">
      <c r="A2513" s="186"/>
      <c r="B2513" s="1264"/>
      <c r="C2513" s="1264"/>
      <c r="D2513" s="1264"/>
      <c r="E2513" s="535"/>
      <c r="F2513" s="536"/>
      <c r="G2513" s="536"/>
      <c r="H2513" s="537"/>
      <c r="I2513" s="503"/>
      <c r="J2513" s="494" t="s">
        <v>37</v>
      </c>
      <c r="K2513" s="193">
        <f>+K2512</f>
        <v>330</v>
      </c>
      <c r="L2513" s="186" t="s">
        <v>108</v>
      </c>
      <c r="M2513" s="96"/>
      <c r="N2513" s="50"/>
      <c r="O2513" s="539"/>
      <c r="P2513" s="9"/>
      <c r="Q2513" s="34"/>
      <c r="R2513" s="5"/>
      <c r="S2513" s="35"/>
    </row>
    <row r="2514" spans="1:25" ht="30" customHeight="1" thickBot="1" x14ac:dyDescent="0.4">
      <c r="A2514" s="385"/>
      <c r="B2514" s="386"/>
      <c r="C2514" s="386"/>
      <c r="D2514" s="386"/>
      <c r="E2514" s="386"/>
      <c r="F2514" s="386"/>
      <c r="G2514" s="386"/>
      <c r="H2514" s="386"/>
      <c r="I2514" s="386"/>
      <c r="J2514" s="386"/>
      <c r="K2514" s="386"/>
      <c r="L2514" s="387"/>
      <c r="M2514" s="50"/>
      <c r="N2514" s="50"/>
      <c r="O2514" s="539"/>
      <c r="P2514" s="9"/>
      <c r="Q2514" s="34"/>
      <c r="R2514" s="5"/>
      <c r="S2514" s="35"/>
      <c r="X2514" s="396"/>
      <c r="Y2514" s="396"/>
    </row>
    <row r="2515" spans="1:25" s="396" customFormat="1" ht="30" customHeight="1" x14ac:dyDescent="0.35">
      <c r="A2515" s="388" t="s">
        <v>1</v>
      </c>
      <c r="B2515" s="389">
        <v>4422</v>
      </c>
      <c r="C2515" s="1290" t="s">
        <v>1156</v>
      </c>
      <c r="D2515" s="1291"/>
      <c r="E2515" s="392" t="s">
        <v>3</v>
      </c>
      <c r="F2515" s="393" t="s">
        <v>108</v>
      </c>
      <c r="G2515" s="390" t="s">
        <v>38</v>
      </c>
      <c r="H2515" s="134">
        <v>2736.9633293908901</v>
      </c>
      <c r="I2515" s="392" t="s">
        <v>5</v>
      </c>
      <c r="J2515" s="1207" t="s">
        <v>2538</v>
      </c>
      <c r="K2515" s="1207"/>
      <c r="L2515" s="1208"/>
      <c r="M2515" s="50"/>
      <c r="N2515" s="50"/>
      <c r="O2515" s="5"/>
      <c r="P2515" s="9"/>
      <c r="Q2515" s="34"/>
      <c r="R2515" s="5"/>
      <c r="S2515" s="35"/>
      <c r="T2515" s="9"/>
      <c r="U2515" s="9"/>
      <c r="V2515" s="9"/>
      <c r="W2515" s="9"/>
      <c r="X2515" s="9"/>
      <c r="Y2515" s="9"/>
    </row>
    <row r="2516" spans="1:25" ht="30" customHeight="1" x14ac:dyDescent="0.35">
      <c r="A2516" s="185" t="s">
        <v>177</v>
      </c>
      <c r="B2516" s="1272" t="s">
        <v>7</v>
      </c>
      <c r="C2516" s="1272"/>
      <c r="D2516" s="1272"/>
      <c r="E2516" s="397" t="s">
        <v>52</v>
      </c>
      <c r="F2516" s="397" t="s">
        <v>178</v>
      </c>
      <c r="G2516" s="1225" t="s">
        <v>9</v>
      </c>
      <c r="H2516" s="1226"/>
      <c r="I2516" s="1221" t="s">
        <v>179</v>
      </c>
      <c r="J2516" s="1222"/>
      <c r="K2516" s="1209" t="s">
        <v>180</v>
      </c>
      <c r="L2516" s="1210"/>
      <c r="M2516" s="50"/>
      <c r="N2516" s="50"/>
      <c r="O2516" s="5"/>
      <c r="P2516" s="9"/>
      <c r="Q2516" s="34"/>
      <c r="R2516" s="5"/>
      <c r="S2516" s="35"/>
    </row>
    <row r="2517" spans="1:25" ht="30" customHeight="1" x14ac:dyDescent="0.35">
      <c r="A2517" s="401">
        <v>44222</v>
      </c>
      <c r="B2517" s="1265" t="s">
        <v>1157</v>
      </c>
      <c r="C2517" s="1265"/>
      <c r="D2517" s="1265"/>
      <c r="E2517" s="187">
        <v>204</v>
      </c>
      <c r="F2517" s="305">
        <v>2500</v>
      </c>
      <c r="G2517" s="532" t="s">
        <v>108</v>
      </c>
      <c r="H2517" s="533"/>
      <c r="I2517" s="1217">
        <f>+'FY2024 MILCON Inflation Table'!F22</f>
        <v>0.95834826759383673</v>
      </c>
      <c r="J2517" s="1218"/>
      <c r="K2517" s="187">
        <f>+E2517*I2517</f>
        <v>195.50304658914268</v>
      </c>
      <c r="L2517" s="401" t="s">
        <v>108</v>
      </c>
      <c r="M2517" s="50"/>
      <c r="N2517" s="50"/>
      <c r="O2517" s="5"/>
      <c r="P2517" s="9"/>
      <c r="Q2517" s="34"/>
      <c r="R2517" s="5"/>
      <c r="S2517" s="35"/>
    </row>
    <row r="2518" spans="1:25" ht="30" customHeight="1" thickBot="1" x14ac:dyDescent="0.4">
      <c r="A2518" s="186"/>
      <c r="B2518" s="1567"/>
      <c r="C2518" s="1567"/>
      <c r="D2518" s="1567"/>
      <c r="E2518" s="535"/>
      <c r="F2518" s="536"/>
      <c r="G2518" s="536"/>
      <c r="H2518" s="537"/>
      <c r="I2518" s="503"/>
      <c r="J2518" s="494" t="s">
        <v>37</v>
      </c>
      <c r="K2518" s="193">
        <f>+K2517</f>
        <v>195.50304658914268</v>
      </c>
      <c r="L2518" s="186" t="s">
        <v>108</v>
      </c>
      <c r="M2518" s="50"/>
      <c r="N2518" s="50"/>
      <c r="O2518" s="5"/>
      <c r="P2518" s="9"/>
      <c r="Q2518" s="34"/>
      <c r="R2518" s="5"/>
      <c r="S2518" s="35"/>
    </row>
    <row r="2519" spans="1:25" ht="30" customHeight="1" thickBot="1" x14ac:dyDescent="0.4">
      <c r="A2519" s="1199"/>
      <c r="B2519" s="1200"/>
      <c r="C2519" s="1200"/>
      <c r="D2519" s="1200"/>
      <c r="E2519" s="1200"/>
      <c r="F2519" s="1200"/>
      <c r="G2519" s="1200"/>
      <c r="H2519" s="1200"/>
      <c r="I2519" s="1200"/>
      <c r="J2519" s="1200"/>
      <c r="K2519" s="1200"/>
      <c r="L2519" s="1201"/>
      <c r="M2519" s="50"/>
      <c r="N2519" s="50"/>
      <c r="X2519" s="396"/>
      <c r="Y2519" s="396"/>
    </row>
    <row r="2520" spans="1:25" s="396" customFormat="1" ht="30" customHeight="1" x14ac:dyDescent="0.35">
      <c r="A2520" s="388" t="s">
        <v>1</v>
      </c>
      <c r="B2520" s="389">
        <v>4423</v>
      </c>
      <c r="C2520" s="1205" t="s">
        <v>1158</v>
      </c>
      <c r="D2520" s="1206"/>
      <c r="E2520" s="392" t="s">
        <v>3</v>
      </c>
      <c r="F2520" s="393" t="s">
        <v>108</v>
      </c>
      <c r="G2520" s="390" t="s">
        <v>38</v>
      </c>
      <c r="H2520" s="134">
        <v>1442.5804256741601</v>
      </c>
      <c r="I2520" s="392" t="s">
        <v>5</v>
      </c>
      <c r="J2520" s="1207" t="s">
        <v>2538</v>
      </c>
      <c r="K2520" s="1207"/>
      <c r="L2520" s="1208"/>
      <c r="M2520" s="96"/>
      <c r="N2520" s="50"/>
      <c r="O2520" s="5"/>
      <c r="P2520" s="9"/>
      <c r="Q2520" s="34"/>
      <c r="R2520" s="5"/>
      <c r="S2520" s="35"/>
      <c r="T2520" s="9"/>
      <c r="U2520" s="9"/>
      <c r="V2520" s="9"/>
      <c r="W2520" s="9"/>
      <c r="X2520" s="9"/>
      <c r="Y2520" s="9"/>
    </row>
    <row r="2521" spans="1:25" ht="30" customHeight="1" x14ac:dyDescent="0.35">
      <c r="A2521" s="185" t="s">
        <v>177</v>
      </c>
      <c r="B2521" s="1272" t="s">
        <v>7</v>
      </c>
      <c r="C2521" s="1272"/>
      <c r="D2521" s="1272"/>
      <c r="E2521" s="397" t="s">
        <v>52</v>
      </c>
      <c r="F2521" s="397" t="s">
        <v>178</v>
      </c>
      <c r="G2521" s="1225" t="s">
        <v>9</v>
      </c>
      <c r="H2521" s="1226"/>
      <c r="I2521" s="1221" t="s">
        <v>179</v>
      </c>
      <c r="J2521" s="1222"/>
      <c r="K2521" s="1209" t="s">
        <v>180</v>
      </c>
      <c r="L2521" s="1210"/>
      <c r="M2521" s="96"/>
      <c r="N2521" s="50"/>
      <c r="O2521" s="5"/>
      <c r="P2521" s="9"/>
      <c r="Q2521" s="34"/>
      <c r="R2521" s="5"/>
      <c r="S2521" s="35"/>
    </row>
    <row r="2522" spans="1:25" ht="30" customHeight="1" x14ac:dyDescent="0.35">
      <c r="A2522" s="407">
        <v>21470</v>
      </c>
      <c r="B2522" s="1389" t="s">
        <v>2573</v>
      </c>
      <c r="C2522" s="1390"/>
      <c r="D2522" s="1391"/>
      <c r="E2522" s="187">
        <v>724</v>
      </c>
      <c r="F2522" s="305">
        <v>180</v>
      </c>
      <c r="G2522" s="1509"/>
      <c r="H2522" s="1510"/>
      <c r="I2522" s="1217">
        <f>+'FY2024 MILCON Inflation Table'!F22</f>
        <v>0.95834826759383673</v>
      </c>
      <c r="J2522" s="1218"/>
      <c r="K2522" s="982">
        <f>+E2522*I2522</f>
        <v>693.84414573793777</v>
      </c>
      <c r="L2522" s="407" t="s">
        <v>108</v>
      </c>
      <c r="M2522" s="50"/>
      <c r="N2522" s="50"/>
      <c r="O2522" s="5"/>
      <c r="P2522" s="9"/>
      <c r="Q2522" s="34"/>
      <c r="R2522" s="5"/>
      <c r="S2522" s="35"/>
    </row>
    <row r="2523" spans="1:25" ht="30" customHeight="1" thickBot="1" x14ac:dyDescent="0.4">
      <c r="A2523" s="186"/>
      <c r="B2523" s="1567"/>
      <c r="C2523" s="1567"/>
      <c r="D2523" s="1567"/>
      <c r="E2523" s="535"/>
      <c r="F2523" s="536"/>
      <c r="G2523" s="536"/>
      <c r="H2523" s="537"/>
      <c r="I2523" s="503"/>
      <c r="J2523" s="494" t="s">
        <v>37</v>
      </c>
      <c r="K2523" s="190">
        <f>+K2522</f>
        <v>693.84414573793777</v>
      </c>
      <c r="L2523" s="186" t="s">
        <v>108</v>
      </c>
      <c r="M2523" s="50"/>
      <c r="N2523" s="50"/>
      <c r="O2523" s="5"/>
      <c r="P2523" s="9"/>
      <c r="Q2523" s="34"/>
      <c r="R2523" s="5"/>
      <c r="S2523" s="35"/>
    </row>
    <row r="2524" spans="1:25" ht="30" customHeight="1" thickBot="1" x14ac:dyDescent="0.4">
      <c r="A2524" s="1199"/>
      <c r="B2524" s="1200"/>
      <c r="C2524" s="1200"/>
      <c r="D2524" s="1200"/>
      <c r="E2524" s="1200"/>
      <c r="F2524" s="1200"/>
      <c r="G2524" s="1200"/>
      <c r="H2524" s="1200"/>
      <c r="I2524" s="1200"/>
      <c r="J2524" s="1200"/>
      <c r="K2524" s="1200"/>
      <c r="L2524" s="1201"/>
      <c r="M2524" s="50"/>
      <c r="N2524" s="50"/>
      <c r="O2524" s="5"/>
      <c r="P2524" s="9"/>
      <c r="Q2524" s="34"/>
      <c r="R2524" s="5"/>
      <c r="S2524" s="35"/>
      <c r="X2524" s="396"/>
      <c r="Y2524" s="396"/>
    </row>
    <row r="2525" spans="1:25" s="396" customFormat="1" ht="30" customHeight="1" x14ac:dyDescent="0.35">
      <c r="A2525" s="388" t="s">
        <v>1</v>
      </c>
      <c r="B2525" s="389">
        <v>4424</v>
      </c>
      <c r="C2525" s="1648" t="s">
        <v>2574</v>
      </c>
      <c r="D2525" s="1649"/>
      <c r="E2525" s="392" t="s">
        <v>3</v>
      </c>
      <c r="F2525" s="393" t="s">
        <v>108</v>
      </c>
      <c r="G2525" s="390" t="s">
        <v>38</v>
      </c>
      <c r="H2525" s="134">
        <v>30068.970094562599</v>
      </c>
      <c r="I2525" s="392" t="s">
        <v>5</v>
      </c>
      <c r="J2525" s="1207" t="s">
        <v>184</v>
      </c>
      <c r="K2525" s="1207"/>
      <c r="L2525" s="1208"/>
      <c r="M2525" s="96"/>
      <c r="N2525" s="50"/>
      <c r="O2525" s="5"/>
      <c r="P2525" s="9"/>
      <c r="Q2525" s="34"/>
      <c r="R2525" s="5"/>
      <c r="S2525" s="35"/>
      <c r="T2525" s="9"/>
      <c r="U2525" s="9"/>
      <c r="V2525" s="9"/>
      <c r="W2525" s="9"/>
      <c r="X2525" s="9"/>
      <c r="Y2525" s="9"/>
    </row>
    <row r="2526" spans="1:25" ht="30" customHeight="1" x14ac:dyDescent="0.35">
      <c r="A2526" s="185" t="s">
        <v>177</v>
      </c>
      <c r="B2526" s="1272" t="s">
        <v>7</v>
      </c>
      <c r="C2526" s="1272"/>
      <c r="D2526" s="1272"/>
      <c r="E2526" s="397" t="s">
        <v>52</v>
      </c>
      <c r="F2526" s="397" t="s">
        <v>178</v>
      </c>
      <c r="G2526" s="1225" t="s">
        <v>9</v>
      </c>
      <c r="H2526" s="1226"/>
      <c r="I2526" s="1221" t="s">
        <v>179</v>
      </c>
      <c r="J2526" s="1222"/>
      <c r="K2526" s="1209" t="s">
        <v>180</v>
      </c>
      <c r="L2526" s="1210"/>
      <c r="M2526" s="96"/>
      <c r="N2526" s="50"/>
      <c r="O2526" s="5"/>
      <c r="P2526" s="9"/>
      <c r="Q2526" s="34"/>
      <c r="R2526" s="5"/>
      <c r="S2526" s="35"/>
    </row>
    <row r="2527" spans="1:25" ht="30" customHeight="1" x14ac:dyDescent="0.35">
      <c r="A2527" s="407">
        <v>44130</v>
      </c>
      <c r="B2527" s="1389" t="s">
        <v>2575</v>
      </c>
      <c r="C2527" s="1390"/>
      <c r="D2527" s="1391"/>
      <c r="E2527" s="187">
        <v>110</v>
      </c>
      <c r="F2527" s="305">
        <v>5600</v>
      </c>
      <c r="G2527" s="1509"/>
      <c r="H2527" s="1510"/>
      <c r="I2527" s="1217">
        <f>+'FY2024 MILCON Inflation Table'!F15</f>
        <v>1.3402943931789864</v>
      </c>
      <c r="J2527" s="1218"/>
      <c r="K2527" s="982">
        <f>+E2527*I2527</f>
        <v>147.43238324968848</v>
      </c>
      <c r="L2527" s="407" t="s">
        <v>108</v>
      </c>
      <c r="M2527" s="50"/>
      <c r="N2527" s="50"/>
      <c r="O2527" s="5"/>
      <c r="P2527" s="9"/>
      <c r="Q2527" s="34"/>
      <c r="R2527" s="5"/>
      <c r="S2527" s="35"/>
    </row>
    <row r="2528" spans="1:25" ht="30" customHeight="1" thickBot="1" x14ac:dyDescent="0.4">
      <c r="A2528" s="186"/>
      <c r="B2528" s="1567"/>
      <c r="C2528" s="1567"/>
      <c r="D2528" s="1567"/>
      <c r="E2528" s="535"/>
      <c r="F2528" s="536"/>
      <c r="G2528" s="536"/>
      <c r="H2528" s="537"/>
      <c r="I2528" s="503"/>
      <c r="J2528" s="494" t="s">
        <v>37</v>
      </c>
      <c r="K2528" s="190">
        <f>+K2527</f>
        <v>147.43238324968848</v>
      </c>
      <c r="L2528" s="186" t="s">
        <v>108</v>
      </c>
      <c r="M2528" s="50"/>
      <c r="N2528" s="50"/>
      <c r="O2528" s="5"/>
      <c r="P2528" s="9"/>
      <c r="Q2528" s="34"/>
      <c r="R2528" s="5"/>
      <c r="S2528" s="35"/>
    </row>
    <row r="2529" spans="1:25" ht="65.25" customHeight="1" thickBot="1" x14ac:dyDescent="0.4">
      <c r="A2529" s="1199"/>
      <c r="B2529" s="1200"/>
      <c r="C2529" s="1200"/>
      <c r="D2529" s="1200"/>
      <c r="E2529" s="1200"/>
      <c r="F2529" s="1200"/>
      <c r="G2529" s="1200"/>
      <c r="H2529" s="1200"/>
      <c r="I2529" s="1200"/>
      <c r="J2529" s="1200"/>
      <c r="K2529" s="1200"/>
      <c r="L2529" s="1201"/>
      <c r="M2529" s="50"/>
      <c r="N2529" s="50"/>
      <c r="O2529" s="5"/>
      <c r="P2529" s="9"/>
      <c r="Q2529" s="34"/>
      <c r="R2529" s="5"/>
      <c r="S2529" s="35"/>
    </row>
    <row r="2530" spans="1:25" ht="75" customHeight="1" x14ac:dyDescent="0.35">
      <c r="A2530" s="388" t="s">
        <v>1</v>
      </c>
      <c r="B2530" s="389">
        <v>4425</v>
      </c>
      <c r="C2530" s="1205" t="s">
        <v>1161</v>
      </c>
      <c r="D2530" s="1206"/>
      <c r="E2530" s="392" t="s">
        <v>3</v>
      </c>
      <c r="F2530" s="393" t="s">
        <v>108</v>
      </c>
      <c r="G2530" s="390" t="s">
        <v>38</v>
      </c>
      <c r="H2530" s="660">
        <v>8311</v>
      </c>
      <c r="I2530" s="392" t="s">
        <v>5</v>
      </c>
      <c r="J2530" s="1207" t="s">
        <v>186</v>
      </c>
      <c r="K2530" s="1207"/>
      <c r="L2530" s="1208"/>
      <c r="M2530" s="50"/>
      <c r="N2530" s="50"/>
      <c r="O2530" s="5"/>
      <c r="P2530" s="9"/>
      <c r="Q2530" s="34"/>
      <c r="R2530" s="5"/>
      <c r="S2530" s="35"/>
    </row>
    <row r="2531" spans="1:25" ht="30" customHeight="1" x14ac:dyDescent="0.35">
      <c r="A2531" s="494" t="s">
        <v>187</v>
      </c>
      <c r="B2531" s="1280" t="s">
        <v>211</v>
      </c>
      <c r="C2531" s="1281"/>
      <c r="D2531" s="1282"/>
      <c r="E2531" s="566" t="s">
        <v>52</v>
      </c>
      <c r="F2531" s="566" t="s">
        <v>53</v>
      </c>
      <c r="G2531" s="1219" t="s">
        <v>54</v>
      </c>
      <c r="H2531" s="1220"/>
      <c r="I2531" s="185" t="s">
        <v>188</v>
      </c>
      <c r="J2531" s="185"/>
      <c r="K2531" s="1209" t="s">
        <v>180</v>
      </c>
      <c r="L2531" s="1210"/>
      <c r="M2531" s="50"/>
      <c r="N2531" s="50"/>
      <c r="O2531" s="5"/>
      <c r="P2531" s="9"/>
      <c r="Q2531" s="34"/>
      <c r="R2531" s="5"/>
      <c r="S2531" s="35"/>
      <c r="X2531" s="396"/>
      <c r="Y2531" s="396"/>
    </row>
    <row r="2532" spans="1:25" s="396" customFormat="1" ht="30" customHeight="1" x14ac:dyDescent="0.35">
      <c r="A2532" s="186" t="s">
        <v>1162</v>
      </c>
      <c r="B2532" s="1202" t="s">
        <v>1163</v>
      </c>
      <c r="C2532" s="1203"/>
      <c r="D2532" s="1204"/>
      <c r="E2532" s="194">
        <v>79</v>
      </c>
      <c r="F2532" s="186" t="s">
        <v>108</v>
      </c>
      <c r="G2532" s="186"/>
      <c r="H2532" s="186"/>
      <c r="I2532" s="204">
        <f>(1.16+1.19)/2</f>
        <v>1.1749999999999998</v>
      </c>
      <c r="J2532" s="186"/>
      <c r="K2532" s="194">
        <f>+E2532*I2532</f>
        <v>92.824999999999989</v>
      </c>
      <c r="L2532" s="186" t="s">
        <v>108</v>
      </c>
      <c r="M2532" s="50"/>
      <c r="N2532" s="50"/>
      <c r="O2532" s="5"/>
      <c r="P2532" s="9"/>
      <c r="Q2532" s="34"/>
      <c r="R2532" s="5"/>
      <c r="S2532" s="35"/>
      <c r="T2532" s="9"/>
      <c r="U2532" s="9"/>
      <c r="V2532" s="9"/>
      <c r="W2532" s="9"/>
      <c r="X2532" s="9"/>
      <c r="Y2532" s="9"/>
    </row>
    <row r="2533" spans="1:25" ht="30" customHeight="1" x14ac:dyDescent="0.35">
      <c r="A2533" s="186" t="s">
        <v>249</v>
      </c>
      <c r="B2533" s="1202" t="s">
        <v>1060</v>
      </c>
      <c r="C2533" s="1203"/>
      <c r="D2533" s="1203"/>
      <c r="E2533" s="194">
        <v>3.34</v>
      </c>
      <c r="F2533" s="186" t="s">
        <v>108</v>
      </c>
      <c r="G2533" s="503"/>
      <c r="H2533" s="534"/>
      <c r="I2533" s="204">
        <f>(1.16+1.19)/2</f>
        <v>1.1749999999999998</v>
      </c>
      <c r="J2533" s="186"/>
      <c r="K2533" s="194">
        <f>+E2533*I2533</f>
        <v>3.9244999999999992</v>
      </c>
      <c r="L2533" s="186" t="s">
        <v>108</v>
      </c>
      <c r="M2533" s="50"/>
      <c r="N2533" s="50"/>
      <c r="O2533" s="5"/>
      <c r="P2533" s="9"/>
      <c r="Q2533" s="34"/>
      <c r="R2533" s="5"/>
      <c r="S2533" s="35"/>
    </row>
    <row r="2534" spans="1:25" ht="45" customHeight="1" x14ac:dyDescent="0.35">
      <c r="A2534" s="186"/>
      <c r="B2534" s="1212"/>
      <c r="C2534" s="1213"/>
      <c r="D2534" s="1214"/>
      <c r="E2534" s="194"/>
      <c r="F2534" s="127"/>
      <c r="G2534" s="503"/>
      <c r="H2534" s="534"/>
      <c r="I2534" s="186"/>
      <c r="J2534" s="186" t="s">
        <v>223</v>
      </c>
      <c r="K2534" s="194">
        <f>SUM(K2532:K2533)</f>
        <v>96.749499999999983</v>
      </c>
      <c r="L2534" s="186" t="s">
        <v>108</v>
      </c>
      <c r="M2534" s="50"/>
      <c r="N2534" s="50"/>
      <c r="O2534" s="5"/>
      <c r="P2534" s="9"/>
      <c r="Q2534" s="34"/>
      <c r="R2534" s="5"/>
      <c r="S2534" s="35"/>
    </row>
    <row r="2535" spans="1:25" ht="45" customHeight="1" x14ac:dyDescent="0.35">
      <c r="A2535" s="186"/>
      <c r="B2535" s="1484"/>
      <c r="C2535" s="1485"/>
      <c r="D2535" s="1486"/>
      <c r="E2535" s="194"/>
      <c r="F2535" s="1215" t="s">
        <v>195</v>
      </c>
      <c r="G2535" s="1273" t="s">
        <v>196</v>
      </c>
      <c r="H2535" s="1273"/>
      <c r="I2535" s="1273"/>
      <c r="J2535" s="1273"/>
      <c r="K2535" s="204">
        <f>(1.1+1.08)/2</f>
        <v>1.0900000000000001</v>
      </c>
      <c r="L2535" s="186"/>
      <c r="M2535" s="50"/>
      <c r="O2535" s="5"/>
      <c r="P2535" s="9"/>
      <c r="Q2535" s="34"/>
      <c r="R2535" s="5"/>
      <c r="S2535" s="35"/>
    </row>
    <row r="2536" spans="1:25" ht="30" customHeight="1" x14ac:dyDescent="0.35">
      <c r="A2536" s="186"/>
      <c r="E2536" s="194"/>
      <c r="F2536" s="1216"/>
      <c r="G2536" s="1268" t="s">
        <v>197</v>
      </c>
      <c r="H2536" s="1268"/>
      <c r="I2536" s="1268"/>
      <c r="J2536" s="1268"/>
      <c r="K2536" s="196">
        <v>1.06</v>
      </c>
      <c r="L2536" s="186"/>
      <c r="M2536" s="50"/>
      <c r="N2536" s="50"/>
      <c r="O2536" s="5"/>
      <c r="P2536" s="9"/>
      <c r="Q2536" s="34"/>
      <c r="R2536" s="5"/>
      <c r="S2536" s="35"/>
    </row>
    <row r="2537" spans="1:25" ht="30" customHeight="1" x14ac:dyDescent="0.35">
      <c r="A2537" s="186"/>
      <c r="B2537" s="186"/>
      <c r="C2537" s="503"/>
      <c r="D2537" s="503"/>
      <c r="E2537" s="503"/>
      <c r="F2537" s="503"/>
      <c r="G2537" s="503"/>
      <c r="H2537" s="503"/>
      <c r="I2537" s="503"/>
      <c r="J2537" s="186" t="s">
        <v>37</v>
      </c>
      <c r="K2537" s="193">
        <f>+K2534*K2535/K2536</f>
        <v>99.487693396226405</v>
      </c>
      <c r="L2537" s="186" t="s">
        <v>108</v>
      </c>
      <c r="M2537" s="50"/>
      <c r="N2537" s="50"/>
      <c r="T2537" s="10"/>
      <c r="U2537" s="10"/>
      <c r="X2537" s="396"/>
      <c r="Y2537" s="396"/>
    </row>
    <row r="2538" spans="1:25" s="396" customFormat="1" ht="51" customHeight="1" x14ac:dyDescent="0.35">
      <c r="A2538" s="186"/>
      <c r="B2538" s="186"/>
      <c r="C2538" s="503"/>
      <c r="D2538" s="503"/>
      <c r="E2538" s="503"/>
      <c r="F2538" s="503"/>
      <c r="G2538" s="1374" t="s">
        <v>257</v>
      </c>
      <c r="H2538" s="1375"/>
      <c r="I2538" s="1376"/>
      <c r="J2538" s="560">
        <f>VLOOKUP(B2530,'Mil Cost Premiums for PUCs'!$A$4:$R$285,18,FALSE)</f>
        <v>1.1255953609601996</v>
      </c>
      <c r="K2538" s="193">
        <f>+K2537*J2538</f>
        <v>111.98288615942313</v>
      </c>
      <c r="L2538" s="186" t="s">
        <v>108</v>
      </c>
      <c r="M2538" s="50"/>
      <c r="N2538" s="50"/>
      <c r="O2538" s="9"/>
      <c r="P2538" s="14"/>
      <c r="Q2538" s="9"/>
      <c r="R2538" s="9"/>
      <c r="S2538" s="9"/>
      <c r="T2538" s="10"/>
      <c r="U2538" s="10"/>
      <c r="V2538" s="9"/>
      <c r="W2538" s="9"/>
      <c r="X2538" s="9"/>
      <c r="Y2538" s="9"/>
    </row>
    <row r="2539" spans="1:25" ht="30" customHeight="1" x14ac:dyDescent="0.35">
      <c r="A2539" s="569"/>
      <c r="B2539" s="569"/>
      <c r="C2539" s="510"/>
      <c r="D2539" s="510"/>
      <c r="E2539" s="510"/>
      <c r="F2539" s="510"/>
      <c r="G2539" s="1191" t="s">
        <v>2817</v>
      </c>
      <c r="H2539" s="1192"/>
      <c r="I2539" s="1193"/>
      <c r="J2539" s="570">
        <v>1.1214</v>
      </c>
      <c r="K2539" s="285">
        <f>+K2538*J2539</f>
        <v>125.57760853917709</v>
      </c>
      <c r="L2539" s="186" t="s">
        <v>108</v>
      </c>
      <c r="M2539" s="50"/>
      <c r="N2539" s="50"/>
      <c r="O2539" s="396"/>
      <c r="P2539" s="384"/>
      <c r="Q2539" s="396"/>
      <c r="R2539" s="396"/>
      <c r="S2539" s="396"/>
      <c r="T2539" s="396"/>
      <c r="U2539" s="396"/>
      <c r="V2539" s="396"/>
      <c r="W2539" s="396"/>
    </row>
    <row r="2540" spans="1:25" ht="30" customHeight="1" thickBot="1" x14ac:dyDescent="0.4">
      <c r="A2540" s="569"/>
      <c r="B2540" s="569"/>
      <c r="C2540" s="510"/>
      <c r="D2540" s="510"/>
      <c r="E2540" s="510"/>
      <c r="F2540" s="510"/>
      <c r="G2540" s="1191" t="s">
        <v>3000</v>
      </c>
      <c r="H2540" s="1192"/>
      <c r="I2540" s="1193"/>
      <c r="J2540" s="570">
        <v>1.0438745311870361</v>
      </c>
      <c r="K2540" s="285">
        <f>+K2539*J2540</f>
        <v>131.08726724142264</v>
      </c>
      <c r="L2540" s="186" t="s">
        <v>108</v>
      </c>
      <c r="M2540" s="50"/>
      <c r="N2540" s="96"/>
      <c r="O2540" s="14"/>
    </row>
    <row r="2541" spans="1:25" ht="30" customHeight="1" thickBot="1" x14ac:dyDescent="0.4">
      <c r="A2541" s="1199"/>
      <c r="B2541" s="1200"/>
      <c r="C2541" s="1200"/>
      <c r="D2541" s="1200"/>
      <c r="E2541" s="1200"/>
      <c r="F2541" s="1200"/>
      <c r="G2541" s="1200"/>
      <c r="H2541" s="1200"/>
      <c r="I2541" s="1200"/>
      <c r="J2541" s="1200"/>
      <c r="K2541" s="1200"/>
      <c r="L2541" s="1201"/>
      <c r="M2541" s="50"/>
      <c r="N2541" s="50"/>
      <c r="O2541" s="572"/>
    </row>
    <row r="2542" spans="1:25" ht="30" customHeight="1" x14ac:dyDescent="0.35">
      <c r="A2542" s="388" t="s">
        <v>1</v>
      </c>
      <c r="B2542" s="389">
        <v>4426</v>
      </c>
      <c r="C2542" s="1205" t="s">
        <v>1164</v>
      </c>
      <c r="D2542" s="1206"/>
      <c r="E2542" s="392" t="s">
        <v>3</v>
      </c>
      <c r="F2542" s="393" t="s">
        <v>108</v>
      </c>
      <c r="G2542" s="390" t="s">
        <v>38</v>
      </c>
      <c r="H2542" s="660">
        <v>2307</v>
      </c>
      <c r="I2542" s="392" t="s">
        <v>5</v>
      </c>
      <c r="J2542" s="1207" t="s">
        <v>186</v>
      </c>
      <c r="K2542" s="1207"/>
      <c r="L2542" s="1208"/>
      <c r="M2542" s="50"/>
      <c r="N2542" s="50"/>
      <c r="T2542" s="10"/>
      <c r="U2542" s="10"/>
    </row>
    <row r="2543" spans="1:25" ht="30" customHeight="1" x14ac:dyDescent="0.35">
      <c r="A2543" s="494" t="s">
        <v>187</v>
      </c>
      <c r="B2543" s="1280" t="s">
        <v>211</v>
      </c>
      <c r="C2543" s="1281"/>
      <c r="D2543" s="1282"/>
      <c r="E2543" s="566" t="s">
        <v>52</v>
      </c>
      <c r="F2543" s="566" t="s">
        <v>53</v>
      </c>
      <c r="G2543" s="1219" t="s">
        <v>54</v>
      </c>
      <c r="H2543" s="1220"/>
      <c r="I2543" s="185" t="s">
        <v>188</v>
      </c>
      <c r="J2543" s="185"/>
      <c r="K2543" s="1209" t="s">
        <v>180</v>
      </c>
      <c r="L2543" s="1210"/>
      <c r="M2543" s="50"/>
      <c r="N2543" s="50"/>
      <c r="T2543" s="10"/>
      <c r="U2543" s="10"/>
      <c r="X2543" s="396"/>
      <c r="Y2543" s="396"/>
    </row>
    <row r="2544" spans="1:25" s="396" customFormat="1" ht="30" customHeight="1" x14ac:dyDescent="0.35">
      <c r="A2544" s="186" t="s">
        <v>1165</v>
      </c>
      <c r="B2544" s="1211" t="s">
        <v>1166</v>
      </c>
      <c r="C2544" s="1211"/>
      <c r="D2544" s="1211"/>
      <c r="E2544" s="194">
        <v>26</v>
      </c>
      <c r="F2544" s="186" t="s">
        <v>108</v>
      </c>
      <c r="G2544" s="186"/>
      <c r="H2544" s="186"/>
      <c r="I2544" s="186">
        <v>1.1399999999999999</v>
      </c>
      <c r="J2544" s="186"/>
      <c r="K2544" s="194">
        <f>+E2544*I2544</f>
        <v>29.639999999999997</v>
      </c>
      <c r="L2544" s="186" t="s">
        <v>108</v>
      </c>
      <c r="M2544" s="50"/>
      <c r="N2544" s="50"/>
      <c r="O2544" s="9"/>
      <c r="P2544" s="384"/>
      <c r="X2544" s="9"/>
      <c r="Y2544" s="9"/>
    </row>
    <row r="2545" spans="1:25" ht="30" customHeight="1" x14ac:dyDescent="0.35">
      <c r="A2545" s="186"/>
      <c r="B2545" s="567"/>
      <c r="C2545" s="567"/>
      <c r="D2545" s="567"/>
      <c r="E2545" s="194"/>
      <c r="F2545" s="1215" t="s">
        <v>195</v>
      </c>
      <c r="G2545" s="1273" t="s">
        <v>196</v>
      </c>
      <c r="H2545" s="1273"/>
      <c r="I2545" s="1273"/>
      <c r="J2545" s="1273"/>
      <c r="K2545" s="204">
        <v>1.03</v>
      </c>
      <c r="L2545" s="186"/>
      <c r="M2545" s="50"/>
      <c r="N2545" s="50"/>
    </row>
    <row r="2546" spans="1:25" ht="30" customHeight="1" x14ac:dyDescent="0.35">
      <c r="A2546" s="186"/>
      <c r="B2546" s="567"/>
      <c r="C2546" s="567"/>
      <c r="D2546" s="567"/>
      <c r="E2546" s="194"/>
      <c r="F2546" s="1216"/>
      <c r="G2546" s="1268" t="s">
        <v>197</v>
      </c>
      <c r="H2546" s="1268"/>
      <c r="I2546" s="1268"/>
      <c r="J2546" s="1268"/>
      <c r="K2546" s="196">
        <v>1.06</v>
      </c>
      <c r="L2546" s="186"/>
      <c r="M2546" s="50"/>
      <c r="N2546" s="50"/>
      <c r="O2546" s="572"/>
    </row>
    <row r="2547" spans="1:25" ht="30" customHeight="1" x14ac:dyDescent="0.35">
      <c r="A2547" s="186"/>
      <c r="B2547" s="186"/>
      <c r="C2547" s="503"/>
      <c r="D2547" s="503"/>
      <c r="E2547" s="503"/>
      <c r="F2547" s="503"/>
      <c r="G2547" s="503"/>
      <c r="H2547" s="503"/>
      <c r="I2547" s="503"/>
      <c r="J2547" s="503" t="s">
        <v>37</v>
      </c>
      <c r="K2547" s="193">
        <f>+K2544*K2545/K2546</f>
        <v>28.801132075471696</v>
      </c>
      <c r="L2547" s="186" t="s">
        <v>108</v>
      </c>
      <c r="M2547" s="50"/>
      <c r="N2547" s="50"/>
      <c r="T2547" s="10"/>
      <c r="U2547" s="10"/>
    </row>
    <row r="2548" spans="1:25" ht="30" customHeight="1" x14ac:dyDescent="0.35">
      <c r="A2548" s="186"/>
      <c r="B2548" s="186"/>
      <c r="C2548" s="503"/>
      <c r="D2548" s="503"/>
      <c r="E2548" s="503"/>
      <c r="F2548" s="503"/>
      <c r="G2548" s="1374" t="s">
        <v>257</v>
      </c>
      <c r="H2548" s="1375"/>
      <c r="I2548" s="1376"/>
      <c r="J2548" s="560">
        <f>VLOOKUP(B2542,'Mil Cost Premiums for PUCs'!$A$4:$R$285,18,FALSE)</f>
        <v>1.0905505199999999</v>
      </c>
      <c r="K2548" s="193">
        <f>+K2547*J2548</f>
        <v>31.409089561494334</v>
      </c>
      <c r="L2548" s="186" t="s">
        <v>108</v>
      </c>
      <c r="M2548" s="50"/>
      <c r="N2548" s="50"/>
      <c r="T2548" s="10"/>
      <c r="U2548" s="10"/>
    </row>
    <row r="2549" spans="1:25" ht="30" customHeight="1" x14ac:dyDescent="0.35">
      <c r="A2549" s="569"/>
      <c r="B2549" s="569"/>
      <c r="C2549" s="510"/>
      <c r="D2549" s="510"/>
      <c r="E2549" s="510"/>
      <c r="F2549" s="510"/>
      <c r="G2549" s="1191" t="s">
        <v>2817</v>
      </c>
      <c r="H2549" s="1192"/>
      <c r="I2549" s="1193"/>
      <c r="J2549" s="570">
        <v>1.1214</v>
      </c>
      <c r="K2549" s="285">
        <f>+K2548*J2549</f>
        <v>35.222153034259748</v>
      </c>
      <c r="L2549" s="186" t="s">
        <v>108</v>
      </c>
      <c r="M2549" s="50"/>
      <c r="N2549" s="50"/>
      <c r="P2549" s="384"/>
      <c r="Q2549" s="396"/>
      <c r="R2549" s="396"/>
      <c r="S2549" s="396"/>
      <c r="T2549" s="396"/>
      <c r="U2549" s="396"/>
      <c r="V2549" s="396"/>
      <c r="W2549" s="396"/>
    </row>
    <row r="2550" spans="1:25" ht="30" customHeight="1" thickBot="1" x14ac:dyDescent="0.4">
      <c r="A2550" s="569"/>
      <c r="B2550" s="569"/>
      <c r="C2550" s="510"/>
      <c r="D2550" s="510"/>
      <c r="E2550" s="510"/>
      <c r="F2550" s="510"/>
      <c r="G2550" s="1191" t="s">
        <v>3000</v>
      </c>
      <c r="H2550" s="1192"/>
      <c r="I2550" s="1193"/>
      <c r="J2550" s="570">
        <v>1.0438745311870361</v>
      </c>
      <c r="K2550" s="285">
        <f>+K2549*J2550</f>
        <v>36.767508486035936</v>
      </c>
      <c r="L2550" s="186" t="s">
        <v>108</v>
      </c>
      <c r="M2550" s="50"/>
      <c r="N2550" s="50"/>
    </row>
    <row r="2551" spans="1:25" ht="30" customHeight="1" thickBot="1" x14ac:dyDescent="0.4">
      <c r="A2551" s="1199"/>
      <c r="B2551" s="1200"/>
      <c r="C2551" s="1200"/>
      <c r="D2551" s="1200"/>
      <c r="E2551" s="1200"/>
      <c r="F2551" s="1200"/>
      <c r="G2551" s="1200"/>
      <c r="H2551" s="1200"/>
      <c r="I2551" s="1200"/>
      <c r="J2551" s="1200"/>
      <c r="K2551" s="1200"/>
      <c r="L2551" s="1201"/>
      <c r="M2551" s="50"/>
      <c r="N2551" s="50"/>
      <c r="O2551" s="572"/>
    </row>
    <row r="2552" spans="1:25" ht="30" customHeight="1" x14ac:dyDescent="0.35">
      <c r="A2552" s="388" t="s">
        <v>1</v>
      </c>
      <c r="B2552" s="389">
        <v>4427</v>
      </c>
      <c r="C2552" s="1290" t="s">
        <v>1167</v>
      </c>
      <c r="D2552" s="1291"/>
      <c r="E2552" s="392" t="s">
        <v>3</v>
      </c>
      <c r="F2552" s="393" t="s">
        <v>108</v>
      </c>
      <c r="G2552" s="390" t="s">
        <v>38</v>
      </c>
      <c r="H2552" s="195">
        <v>3375.2676939655098</v>
      </c>
      <c r="I2552" s="392" t="s">
        <v>5</v>
      </c>
      <c r="J2552" s="1207" t="s">
        <v>2470</v>
      </c>
      <c r="K2552" s="1207"/>
      <c r="L2552" s="1208"/>
      <c r="M2552" s="50"/>
      <c r="N2552" s="96"/>
      <c r="O2552" s="14"/>
      <c r="T2552" s="10"/>
      <c r="U2552" s="10"/>
    </row>
    <row r="2553" spans="1:25" ht="30" customHeight="1" x14ac:dyDescent="0.35">
      <c r="A2553" s="185" t="s">
        <v>177</v>
      </c>
      <c r="B2553" s="1272" t="s">
        <v>7</v>
      </c>
      <c r="C2553" s="1272"/>
      <c r="D2553" s="1272"/>
      <c r="E2553" s="492" t="s">
        <v>178</v>
      </c>
      <c r="F2553" s="397" t="s">
        <v>52</v>
      </c>
      <c r="G2553" s="185"/>
      <c r="H2553" s="185"/>
      <c r="I2553" s="1223" t="s">
        <v>56</v>
      </c>
      <c r="J2553" s="1224"/>
      <c r="K2553" s="1209" t="s">
        <v>180</v>
      </c>
      <c r="L2553" s="1210"/>
      <c r="M2553" s="50"/>
      <c r="N2553" s="50"/>
      <c r="T2553" s="10"/>
      <c r="U2553" s="10"/>
    </row>
    <row r="2554" spans="1:25" ht="30" customHeight="1" x14ac:dyDescent="0.35">
      <c r="A2554" s="401" t="s">
        <v>181</v>
      </c>
      <c r="B2554" s="1265" t="s">
        <v>1168</v>
      </c>
      <c r="C2554" s="1265"/>
      <c r="D2554" s="1265"/>
      <c r="E2554" s="531">
        <v>10000</v>
      </c>
      <c r="F2554" s="187">
        <v>396</v>
      </c>
      <c r="G2554" s="532"/>
      <c r="H2554" s="533"/>
      <c r="I2554" s="1217">
        <v>1.0438745311870332</v>
      </c>
      <c r="J2554" s="1218"/>
      <c r="K2554" s="187">
        <f>+F2554*+I2554</f>
        <v>413.37431435006516</v>
      </c>
      <c r="L2554" s="401" t="s">
        <v>108</v>
      </c>
      <c r="M2554" s="50"/>
      <c r="N2554" s="50"/>
      <c r="P2554" s="384"/>
      <c r="Q2554" s="396"/>
      <c r="R2554" s="396"/>
      <c r="S2554" s="396"/>
      <c r="T2554" s="396"/>
      <c r="U2554" s="396"/>
      <c r="V2554" s="396"/>
      <c r="W2554" s="396"/>
      <c r="X2554" s="396"/>
      <c r="Y2554" s="396"/>
    </row>
    <row r="2555" spans="1:25" s="396" customFormat="1" ht="30" customHeight="1" thickBot="1" x14ac:dyDescent="0.4">
      <c r="A2555" s="186"/>
      <c r="B2555" s="1264"/>
      <c r="C2555" s="1264"/>
      <c r="D2555" s="1264"/>
      <c r="E2555" s="535"/>
      <c r="F2555" s="536"/>
      <c r="G2555" s="536"/>
      <c r="H2555" s="537"/>
      <c r="I2555" s="503"/>
      <c r="J2555" s="494" t="s">
        <v>37</v>
      </c>
      <c r="K2555" s="193">
        <f>+K2554</f>
        <v>413.37431435006516</v>
      </c>
      <c r="L2555" s="186" t="s">
        <v>108</v>
      </c>
      <c r="M2555" s="50"/>
      <c r="N2555" s="50"/>
      <c r="O2555" s="9"/>
      <c r="P2555" s="14"/>
      <c r="Q2555" s="9"/>
      <c r="R2555" s="9"/>
      <c r="S2555" s="9"/>
      <c r="T2555" s="9"/>
      <c r="U2555" s="9"/>
      <c r="V2555" s="9"/>
      <c r="W2555" s="9"/>
      <c r="X2555" s="9"/>
      <c r="Y2555" s="9"/>
    </row>
    <row r="2556" spans="1:25" ht="30" customHeight="1" thickBot="1" x14ac:dyDescent="0.4">
      <c r="A2556" s="1199"/>
      <c r="B2556" s="1200"/>
      <c r="C2556" s="1200"/>
      <c r="D2556" s="1200"/>
      <c r="E2556" s="1200"/>
      <c r="F2556" s="1200"/>
      <c r="G2556" s="1200"/>
      <c r="H2556" s="1200"/>
      <c r="I2556" s="1200"/>
      <c r="J2556" s="1200"/>
      <c r="K2556" s="1200"/>
      <c r="L2556" s="1201"/>
      <c r="M2556" s="50"/>
      <c r="N2556" s="50"/>
      <c r="O2556" s="572"/>
    </row>
    <row r="2557" spans="1:25" ht="30" customHeight="1" x14ac:dyDescent="0.35">
      <c r="A2557" s="388" t="s">
        <v>1</v>
      </c>
      <c r="B2557" s="389">
        <v>4428</v>
      </c>
      <c r="C2557" s="1205" t="s">
        <v>1169</v>
      </c>
      <c r="D2557" s="1206"/>
      <c r="E2557" s="392" t="s">
        <v>3</v>
      </c>
      <c r="F2557" s="393" t="s">
        <v>108</v>
      </c>
      <c r="G2557" s="390" t="s">
        <v>38</v>
      </c>
      <c r="H2557" s="660">
        <v>13404</v>
      </c>
      <c r="I2557" s="392" t="s">
        <v>5</v>
      </c>
      <c r="J2557" s="1207" t="s">
        <v>186</v>
      </c>
      <c r="K2557" s="1207"/>
      <c r="L2557" s="1208"/>
      <c r="M2557" s="50"/>
      <c r="N2557" s="50"/>
      <c r="T2557" s="10"/>
      <c r="U2557" s="10"/>
    </row>
    <row r="2558" spans="1:25" ht="30" customHeight="1" x14ac:dyDescent="0.35">
      <c r="A2558" s="494" t="s">
        <v>187</v>
      </c>
      <c r="B2558" s="1280" t="s">
        <v>211</v>
      </c>
      <c r="C2558" s="1281"/>
      <c r="D2558" s="1282"/>
      <c r="E2558" s="566" t="s">
        <v>52</v>
      </c>
      <c r="F2558" s="566" t="s">
        <v>53</v>
      </c>
      <c r="G2558" s="1219">
        <v>87.5</v>
      </c>
      <c r="H2558" s="1220"/>
      <c r="I2558" s="185" t="s">
        <v>188</v>
      </c>
      <c r="J2558" s="185"/>
      <c r="K2558" s="1209" t="s">
        <v>180</v>
      </c>
      <c r="L2558" s="1210"/>
      <c r="M2558" s="50"/>
      <c r="N2558" s="50"/>
    </row>
    <row r="2559" spans="1:25" ht="30" customHeight="1" x14ac:dyDescent="0.35">
      <c r="A2559" s="186" t="s">
        <v>1170</v>
      </c>
      <c r="B2559" s="1202" t="s">
        <v>1171</v>
      </c>
      <c r="C2559" s="1203"/>
      <c r="D2559" s="1204"/>
      <c r="E2559" s="194">
        <v>87.5</v>
      </c>
      <c r="F2559" s="186" t="s">
        <v>108</v>
      </c>
      <c r="G2559" s="186"/>
      <c r="H2559" s="186"/>
      <c r="I2559" s="204">
        <v>1.18</v>
      </c>
      <c r="J2559" s="186"/>
      <c r="K2559" s="194">
        <f>+E2559*I2559</f>
        <v>103.25</v>
      </c>
      <c r="L2559" s="186" t="s">
        <v>108</v>
      </c>
      <c r="M2559" s="50"/>
      <c r="N2559" s="50"/>
      <c r="T2559" s="10"/>
      <c r="X2559" s="396"/>
      <c r="Y2559" s="396"/>
    </row>
    <row r="2560" spans="1:25" s="396" customFormat="1" ht="30" customHeight="1" x14ac:dyDescent="0.35">
      <c r="A2560" s="186" t="s">
        <v>1172</v>
      </c>
      <c r="B2560" s="1202" t="s">
        <v>1173</v>
      </c>
      <c r="C2560" s="1203"/>
      <c r="D2560" s="1203"/>
      <c r="E2560" s="194">
        <v>3.42</v>
      </c>
      <c r="F2560" s="186" t="s">
        <v>108</v>
      </c>
      <c r="G2560" s="503"/>
      <c r="H2560" s="534"/>
      <c r="I2560" s="204">
        <v>1.18</v>
      </c>
      <c r="J2560" s="186"/>
      <c r="K2560" s="194">
        <f>+E2560*I2560</f>
        <v>4.0355999999999996</v>
      </c>
      <c r="L2560" s="186" t="s">
        <v>108</v>
      </c>
      <c r="M2560" s="50"/>
      <c r="N2560" s="50"/>
      <c r="O2560" s="5"/>
      <c r="P2560" s="9"/>
      <c r="Q2560" s="34"/>
      <c r="R2560" s="5"/>
      <c r="S2560" s="35"/>
      <c r="T2560" s="9"/>
      <c r="U2560" s="10"/>
      <c r="V2560" s="9"/>
      <c r="W2560" s="9"/>
      <c r="X2560" s="9"/>
      <c r="Y2560" s="9"/>
    </row>
    <row r="2561" spans="1:25" ht="30" customHeight="1" x14ac:dyDescent="0.35">
      <c r="A2561" s="186"/>
      <c r="B2561" s="1212"/>
      <c r="C2561" s="1213"/>
      <c r="D2561" s="1214"/>
      <c r="E2561" s="194"/>
      <c r="F2561" s="127"/>
      <c r="G2561" s="503"/>
      <c r="H2561" s="534"/>
      <c r="I2561" s="186"/>
      <c r="J2561" s="186" t="s">
        <v>223</v>
      </c>
      <c r="K2561" s="194">
        <f>SUM(K2559:K2560)</f>
        <v>107.2856</v>
      </c>
      <c r="L2561" s="186" t="s">
        <v>108</v>
      </c>
      <c r="M2561" s="50"/>
      <c r="N2561" s="50"/>
      <c r="P2561" s="384"/>
      <c r="Q2561" s="396"/>
      <c r="R2561" s="396"/>
      <c r="S2561" s="396"/>
      <c r="T2561" s="396"/>
      <c r="U2561" s="396"/>
      <c r="V2561" s="396"/>
      <c r="W2561" s="396"/>
    </row>
    <row r="2562" spans="1:25" ht="30" customHeight="1" x14ac:dyDescent="0.35">
      <c r="A2562" s="186"/>
      <c r="B2562" s="1484" t="s">
        <v>1174</v>
      </c>
      <c r="C2562" s="1485"/>
      <c r="D2562" s="1486"/>
      <c r="E2562" s="194"/>
      <c r="F2562" s="1215" t="s">
        <v>195</v>
      </c>
      <c r="G2562" s="1273" t="s">
        <v>196</v>
      </c>
      <c r="H2562" s="1273"/>
      <c r="I2562" s="1273"/>
      <c r="J2562" s="1273"/>
      <c r="K2562" s="204">
        <f>(1.05+1.08)/2</f>
        <v>1.0649999999999999</v>
      </c>
      <c r="L2562" s="186"/>
      <c r="M2562" s="50"/>
      <c r="N2562" s="50"/>
    </row>
    <row r="2563" spans="1:25" ht="30" customHeight="1" x14ac:dyDescent="0.35">
      <c r="A2563" s="186"/>
      <c r="B2563" s="567"/>
      <c r="C2563" s="567"/>
      <c r="D2563" s="567"/>
      <c r="E2563" s="194"/>
      <c r="F2563" s="1216"/>
      <c r="G2563" s="1268" t="s">
        <v>197</v>
      </c>
      <c r="H2563" s="1268"/>
      <c r="I2563" s="1268"/>
      <c r="J2563" s="1268"/>
      <c r="K2563" s="196">
        <v>1.06</v>
      </c>
      <c r="L2563" s="186"/>
      <c r="M2563" s="50"/>
      <c r="N2563" s="50"/>
      <c r="O2563" s="572"/>
    </row>
    <row r="2564" spans="1:25" ht="30" customHeight="1" x14ac:dyDescent="0.35">
      <c r="A2564" s="186"/>
      <c r="B2564" s="186"/>
      <c r="C2564" s="503"/>
      <c r="D2564" s="503"/>
      <c r="E2564" s="503"/>
      <c r="F2564" s="503"/>
      <c r="G2564" s="503"/>
      <c r="H2564" s="503"/>
      <c r="I2564" s="503"/>
      <c r="J2564" s="186" t="s">
        <v>37</v>
      </c>
      <c r="K2564" s="193">
        <f>+K2561*K2562/K2563</f>
        <v>107.79166415094339</v>
      </c>
      <c r="L2564" s="186" t="s">
        <v>108</v>
      </c>
      <c r="M2564" s="50"/>
      <c r="N2564" s="50"/>
      <c r="P2564" s="9"/>
      <c r="Q2564" s="34"/>
      <c r="R2564" s="5"/>
      <c r="S2564" s="35"/>
    </row>
    <row r="2565" spans="1:25" ht="30" customHeight="1" x14ac:dyDescent="0.35">
      <c r="A2565" s="186"/>
      <c r="B2565" s="186"/>
      <c r="C2565" s="503"/>
      <c r="D2565" s="503"/>
      <c r="E2565" s="503"/>
      <c r="F2565" s="503"/>
      <c r="G2565" s="1374" t="s">
        <v>257</v>
      </c>
      <c r="H2565" s="1375"/>
      <c r="I2565" s="1376"/>
      <c r="J2565" s="560">
        <f>VLOOKUP(B2557,'Mil Cost Premiums for PUCs'!$A$4:$R$285,18,FALSE)</f>
        <v>1.1025891562650529</v>
      </c>
      <c r="K2565" s="193">
        <f>+K2564*J2565</f>
        <v>118.84992002859462</v>
      </c>
      <c r="L2565" s="186" t="s">
        <v>108</v>
      </c>
      <c r="M2565" s="50"/>
      <c r="N2565" s="50"/>
      <c r="P2565" s="9"/>
      <c r="Q2565" s="34"/>
      <c r="R2565" s="5"/>
      <c r="S2565" s="35"/>
    </row>
    <row r="2566" spans="1:25" ht="30" customHeight="1" x14ac:dyDescent="0.35">
      <c r="A2566" s="569"/>
      <c r="B2566" s="569"/>
      <c r="C2566" s="510"/>
      <c r="D2566" s="510"/>
      <c r="E2566" s="510"/>
      <c r="F2566" s="510"/>
      <c r="G2566" s="1191" t="s">
        <v>2817</v>
      </c>
      <c r="H2566" s="1192"/>
      <c r="I2566" s="1193"/>
      <c r="J2566" s="570">
        <v>1.1214</v>
      </c>
      <c r="K2566" s="285">
        <f>+K2565*J2566</f>
        <v>133.27830032006599</v>
      </c>
      <c r="L2566" s="186" t="s">
        <v>108</v>
      </c>
      <c r="M2566" s="50"/>
      <c r="N2566" s="50"/>
      <c r="O2566" s="5"/>
      <c r="P2566" s="9"/>
      <c r="Q2566" s="34"/>
      <c r="R2566" s="5"/>
      <c r="S2566" s="35"/>
    </row>
    <row r="2567" spans="1:25" ht="30" customHeight="1" thickBot="1" x14ac:dyDescent="0.4">
      <c r="A2567" s="569"/>
      <c r="B2567" s="569"/>
      <c r="C2567" s="510"/>
      <c r="D2567" s="510"/>
      <c r="E2567" s="510"/>
      <c r="F2567" s="510"/>
      <c r="G2567" s="1191" t="s">
        <v>3000</v>
      </c>
      <c r="H2567" s="1192"/>
      <c r="I2567" s="1193"/>
      <c r="J2567" s="570">
        <v>1.0438745311870361</v>
      </c>
      <c r="K2567" s="285">
        <f>+K2566*J2567</f>
        <v>139.12582326401389</v>
      </c>
      <c r="L2567" s="186" t="s">
        <v>108</v>
      </c>
      <c r="M2567" s="50"/>
      <c r="N2567" s="50"/>
      <c r="P2567" s="384"/>
      <c r="Q2567" s="396"/>
      <c r="R2567" s="396"/>
      <c r="S2567" s="396"/>
      <c r="T2567" s="396"/>
      <c r="U2567" s="396"/>
      <c r="V2567" s="396"/>
      <c r="W2567" s="396"/>
    </row>
    <row r="2568" spans="1:25" ht="30" customHeight="1" thickBot="1" x14ac:dyDescent="0.4">
      <c r="A2568" s="1199"/>
      <c r="B2568" s="1200"/>
      <c r="C2568" s="1200"/>
      <c r="D2568" s="1200"/>
      <c r="E2568" s="1200"/>
      <c r="F2568" s="1200"/>
      <c r="G2568" s="1200"/>
      <c r="H2568" s="1200"/>
      <c r="I2568" s="1200"/>
      <c r="J2568" s="1200"/>
      <c r="K2568" s="1200"/>
      <c r="L2568" s="1201"/>
      <c r="M2568" s="50"/>
      <c r="N2568" s="50"/>
      <c r="X2568" s="396"/>
      <c r="Y2568" s="396"/>
    </row>
    <row r="2569" spans="1:25" s="396" customFormat="1" ht="30" customHeight="1" x14ac:dyDescent="0.35">
      <c r="A2569" s="388" t="s">
        <v>1</v>
      </c>
      <c r="B2569" s="389">
        <v>4511</v>
      </c>
      <c r="C2569" s="1205" t="s">
        <v>1175</v>
      </c>
      <c r="D2569" s="1206"/>
      <c r="E2569" s="392" t="s">
        <v>3</v>
      </c>
      <c r="F2569" s="393" t="s">
        <v>4</v>
      </c>
      <c r="G2569" s="390" t="s">
        <v>38</v>
      </c>
      <c r="H2569" s="135">
        <v>9701.0024081878291</v>
      </c>
      <c r="I2569" s="392" t="s">
        <v>5</v>
      </c>
      <c r="J2569" s="1207" t="s">
        <v>2538</v>
      </c>
      <c r="K2569" s="1207"/>
      <c r="L2569" s="1208"/>
      <c r="M2569" s="97"/>
      <c r="N2569" s="50"/>
      <c r="O2569" s="572"/>
      <c r="P2569" s="14"/>
      <c r="Q2569" s="9"/>
      <c r="R2569" s="9"/>
      <c r="S2569" s="9"/>
      <c r="T2569" s="9"/>
      <c r="U2569" s="9"/>
      <c r="V2569" s="9"/>
      <c r="W2569" s="9"/>
      <c r="X2569" s="9"/>
      <c r="Y2569" s="9"/>
    </row>
    <row r="2570" spans="1:25" ht="30" customHeight="1" x14ac:dyDescent="0.35">
      <c r="A2570" s="494" t="s">
        <v>187</v>
      </c>
      <c r="B2570" s="1280" t="s">
        <v>211</v>
      </c>
      <c r="C2570" s="1281"/>
      <c r="D2570" s="1282"/>
      <c r="E2570" s="566" t="s">
        <v>52</v>
      </c>
      <c r="F2570" s="566" t="s">
        <v>53</v>
      </c>
      <c r="G2570" s="1219" t="s">
        <v>54</v>
      </c>
      <c r="H2570" s="1220"/>
      <c r="I2570" s="1221" t="s">
        <v>179</v>
      </c>
      <c r="J2570" s="1222"/>
      <c r="K2570" s="1209" t="s">
        <v>180</v>
      </c>
      <c r="L2570" s="1210"/>
      <c r="M2570" s="97"/>
      <c r="N2570" s="50"/>
      <c r="T2570" s="10"/>
      <c r="U2570" s="10"/>
    </row>
    <row r="2571" spans="1:25" ht="30" customHeight="1" x14ac:dyDescent="0.35">
      <c r="A2571" s="186">
        <v>93410</v>
      </c>
      <c r="B2571" s="1212" t="s">
        <v>2557</v>
      </c>
      <c r="C2571" s="1213"/>
      <c r="D2571" s="1214"/>
      <c r="E2571" s="733">
        <v>11.04</v>
      </c>
      <c r="F2571" s="422" t="s">
        <v>16</v>
      </c>
      <c r="G2571" s="772">
        <v>3</v>
      </c>
      <c r="H2571" s="708" t="s">
        <v>1827</v>
      </c>
      <c r="I2571" s="1332">
        <f>+'FY2024 MILCON Inflation Table'!F22</f>
        <v>0.95834826759383673</v>
      </c>
      <c r="J2571" s="1333"/>
      <c r="K2571" s="734">
        <f>+E2571/G2571*I2571</f>
        <v>3.5267216247453188</v>
      </c>
      <c r="L2571" s="422" t="s">
        <v>4</v>
      </c>
      <c r="M2571" s="50"/>
      <c r="N2571" s="50"/>
      <c r="T2571" s="10"/>
      <c r="U2571" s="10"/>
    </row>
    <row r="2572" spans="1:25" ht="30" customHeight="1" x14ac:dyDescent="0.35">
      <c r="A2572" s="186">
        <v>85110</v>
      </c>
      <c r="B2572" s="1212" t="s">
        <v>2576</v>
      </c>
      <c r="C2572" s="1213"/>
      <c r="D2572" s="1214"/>
      <c r="E2572" s="733">
        <v>25.98</v>
      </c>
      <c r="F2572" s="422" t="s">
        <v>4</v>
      </c>
      <c r="G2572" s="772"/>
      <c r="H2572" s="708"/>
      <c r="I2572" s="1332">
        <f>+I2571</f>
        <v>0.95834826759383673</v>
      </c>
      <c r="J2572" s="1333"/>
      <c r="K2572" s="734">
        <f>+E2572*I2572</f>
        <v>24.897887992087878</v>
      </c>
      <c r="L2572" s="422" t="s">
        <v>4</v>
      </c>
      <c r="M2572" s="50"/>
      <c r="N2572" s="50"/>
      <c r="T2572" s="10"/>
      <c r="U2572" s="10"/>
    </row>
    <row r="2573" spans="1:25" ht="30" customHeight="1" x14ac:dyDescent="0.35">
      <c r="A2573" s="186">
        <v>85110</v>
      </c>
      <c r="B2573" s="1212" t="s">
        <v>2578</v>
      </c>
      <c r="C2573" s="1213"/>
      <c r="D2573" s="1214"/>
      <c r="E2573" s="733">
        <v>148.53</v>
      </c>
      <c r="F2573" s="422" t="s">
        <v>4</v>
      </c>
      <c r="G2573" s="772"/>
      <c r="H2573" s="708"/>
      <c r="I2573" s="1332">
        <f>+I2571</f>
        <v>0.95834826759383673</v>
      </c>
      <c r="J2573" s="1333"/>
      <c r="K2573" s="734">
        <f>+E2573*I2573</f>
        <v>142.34346818571257</v>
      </c>
      <c r="L2573" s="422" t="s">
        <v>4</v>
      </c>
      <c r="M2573" s="50"/>
      <c r="N2573" s="50"/>
      <c r="P2573" s="384"/>
      <c r="Q2573" s="396"/>
      <c r="R2573" s="396"/>
      <c r="S2573" s="396"/>
      <c r="T2573" s="396"/>
      <c r="U2573" s="396"/>
      <c r="V2573" s="396"/>
      <c r="W2573" s="396"/>
    </row>
    <row r="2574" spans="1:25" ht="30" customHeight="1" x14ac:dyDescent="0.35">
      <c r="A2574" s="186"/>
      <c r="C2574" s="278"/>
      <c r="D2574" s="278"/>
      <c r="E2574" s="278"/>
      <c r="F2574" s="278"/>
      <c r="G2574" s="707"/>
      <c r="H2574" s="708"/>
      <c r="I2574" s="186"/>
      <c r="J2574" s="186" t="s">
        <v>251</v>
      </c>
      <c r="K2574" s="201">
        <f>SUM(K2571:K2573)</f>
        <v>170.76807780254575</v>
      </c>
      <c r="L2574" s="422" t="s">
        <v>4</v>
      </c>
      <c r="M2574" s="50"/>
      <c r="N2574" s="50"/>
    </row>
    <row r="2575" spans="1:25" ht="30" customHeight="1" thickBot="1" x14ac:dyDescent="0.4">
      <c r="A2575" s="503"/>
      <c r="B2575" s="1212"/>
      <c r="C2575" s="1457"/>
      <c r="D2575" s="1458"/>
      <c r="E2575" s="306"/>
      <c r="F2575" s="422"/>
      <c r="G2575" s="186"/>
      <c r="H2575" s="186"/>
      <c r="I2575" s="186"/>
      <c r="J2575" s="494" t="s">
        <v>37</v>
      </c>
      <c r="K2575" s="201">
        <f>+K2574</f>
        <v>170.76807780254575</v>
      </c>
      <c r="L2575" s="422" t="s">
        <v>4</v>
      </c>
      <c r="M2575" s="50"/>
      <c r="N2575" s="50"/>
      <c r="O2575" s="572"/>
    </row>
    <row r="2576" spans="1:25" ht="30" customHeight="1" thickBot="1" x14ac:dyDescent="0.4">
      <c r="A2576" s="1199"/>
      <c r="B2576" s="1200"/>
      <c r="C2576" s="1200"/>
      <c r="D2576" s="1200"/>
      <c r="E2576" s="1200"/>
      <c r="F2576" s="1200"/>
      <c r="G2576" s="1200"/>
      <c r="H2576" s="1200"/>
      <c r="I2576" s="1200"/>
      <c r="J2576" s="1200"/>
      <c r="K2576" s="1200"/>
      <c r="L2576" s="1201"/>
      <c r="M2576" s="165"/>
      <c r="N2576" s="50"/>
      <c r="O2576" s="14"/>
      <c r="T2576" s="10"/>
      <c r="U2576" s="10"/>
    </row>
    <row r="2577" spans="1:25" ht="30" customHeight="1" x14ac:dyDescent="0.35">
      <c r="A2577" s="388" t="s">
        <v>1</v>
      </c>
      <c r="B2577" s="389">
        <v>4521</v>
      </c>
      <c r="C2577" s="1345" t="s">
        <v>1176</v>
      </c>
      <c r="D2577" s="1346"/>
      <c r="E2577" s="392" t="s">
        <v>3</v>
      </c>
      <c r="F2577" s="393" t="s">
        <v>4</v>
      </c>
      <c r="G2577" s="390" t="s">
        <v>38</v>
      </c>
      <c r="H2577" s="135">
        <v>13118.522638266</v>
      </c>
      <c r="I2577" s="392" t="s">
        <v>5</v>
      </c>
      <c r="J2577" s="1207" t="s">
        <v>2538</v>
      </c>
      <c r="K2577" s="1207"/>
      <c r="L2577" s="1208"/>
      <c r="M2577" s="97"/>
      <c r="N2577" s="50"/>
      <c r="T2577" s="10"/>
      <c r="U2577" s="10"/>
    </row>
    <row r="2578" spans="1:25" ht="30" customHeight="1" x14ac:dyDescent="0.35">
      <c r="A2578" s="494" t="s">
        <v>187</v>
      </c>
      <c r="B2578" s="1280" t="s">
        <v>211</v>
      </c>
      <c r="C2578" s="1281"/>
      <c r="D2578" s="1282"/>
      <c r="E2578" s="566" t="s">
        <v>52</v>
      </c>
      <c r="F2578" s="566" t="s">
        <v>53</v>
      </c>
      <c r="G2578" s="1219" t="s">
        <v>54</v>
      </c>
      <c r="H2578" s="1220"/>
      <c r="I2578" s="1221" t="s">
        <v>179</v>
      </c>
      <c r="J2578" s="1222"/>
      <c r="K2578" s="1209" t="s">
        <v>180</v>
      </c>
      <c r="L2578" s="1210"/>
      <c r="M2578" s="97"/>
      <c r="N2578" s="96"/>
      <c r="O2578" s="5"/>
      <c r="P2578" s="9"/>
      <c r="Q2578" s="34"/>
      <c r="R2578" s="5"/>
      <c r="S2578" s="35"/>
    </row>
    <row r="2579" spans="1:25" ht="30" customHeight="1" x14ac:dyDescent="0.35">
      <c r="A2579" s="186">
        <v>93410</v>
      </c>
      <c r="B2579" s="1212" t="s">
        <v>2557</v>
      </c>
      <c r="C2579" s="1213"/>
      <c r="D2579" s="1214"/>
      <c r="E2579" s="733">
        <v>11.04</v>
      </c>
      <c r="F2579" s="422" t="s">
        <v>16</v>
      </c>
      <c r="G2579" s="772">
        <v>3</v>
      </c>
      <c r="H2579" s="708" t="s">
        <v>1827</v>
      </c>
      <c r="I2579" s="1332">
        <f>+'FY2024 MILCON Inflation Table'!F22</f>
        <v>0.95834826759383673</v>
      </c>
      <c r="J2579" s="1333"/>
      <c r="K2579" s="734">
        <f>+E2579/G2579*I2579</f>
        <v>3.5267216247453188</v>
      </c>
      <c r="L2579" s="422" t="s">
        <v>4</v>
      </c>
      <c r="M2579" s="50"/>
      <c r="N2579" s="50"/>
      <c r="O2579" s="5"/>
      <c r="P2579" s="9"/>
      <c r="Q2579" s="34"/>
      <c r="R2579" s="5"/>
      <c r="S2579" s="35"/>
    </row>
    <row r="2580" spans="1:25" ht="30" customHeight="1" x14ac:dyDescent="0.35">
      <c r="A2580" s="186">
        <v>85110</v>
      </c>
      <c r="B2580" s="1212" t="s">
        <v>2576</v>
      </c>
      <c r="C2580" s="1213"/>
      <c r="D2580" s="1214"/>
      <c r="E2580" s="733">
        <v>25.98</v>
      </c>
      <c r="F2580" s="422" t="s">
        <v>4</v>
      </c>
      <c r="G2580" s="772"/>
      <c r="H2580" s="708"/>
      <c r="I2580" s="1332">
        <f>+I2579</f>
        <v>0.95834826759383673</v>
      </c>
      <c r="J2580" s="1333"/>
      <c r="K2580" s="734">
        <f>+E2580*I2580</f>
        <v>24.897887992087878</v>
      </c>
      <c r="L2580" s="422" t="s">
        <v>4</v>
      </c>
      <c r="M2580" s="50"/>
      <c r="N2580" s="50"/>
    </row>
    <row r="2581" spans="1:25" ht="30" customHeight="1" x14ac:dyDescent="0.35">
      <c r="A2581" s="186">
        <v>85110</v>
      </c>
      <c r="B2581" s="1212" t="s">
        <v>2577</v>
      </c>
      <c r="C2581" s="1213"/>
      <c r="D2581" s="1214"/>
      <c r="E2581" s="733">
        <v>122.44</v>
      </c>
      <c r="F2581" s="422" t="s">
        <v>4</v>
      </c>
      <c r="G2581" s="772"/>
      <c r="H2581" s="708"/>
      <c r="I2581" s="1332">
        <f>+I2579</f>
        <v>0.95834826759383673</v>
      </c>
      <c r="J2581" s="1333"/>
      <c r="K2581" s="734">
        <f>+E2581*I2581</f>
        <v>117.34016188418937</v>
      </c>
      <c r="L2581" s="422" t="s">
        <v>4</v>
      </c>
      <c r="M2581" s="50"/>
      <c r="N2581" s="50"/>
      <c r="T2581" s="10"/>
      <c r="U2581" s="10"/>
    </row>
    <row r="2582" spans="1:25" ht="30" customHeight="1" x14ac:dyDescent="0.35">
      <c r="A2582" s="186"/>
      <c r="C2582" s="278"/>
      <c r="D2582" s="278"/>
      <c r="E2582" s="278"/>
      <c r="F2582" s="278"/>
      <c r="G2582" s="707"/>
      <c r="H2582" s="708"/>
      <c r="I2582" s="186"/>
      <c r="J2582" s="186" t="s">
        <v>251</v>
      </c>
      <c r="K2582" s="201">
        <f>SUM(K2579:K2581)</f>
        <v>145.76477150102255</v>
      </c>
      <c r="L2582" s="422" t="s">
        <v>4</v>
      </c>
      <c r="M2582" s="50"/>
      <c r="N2582" s="50"/>
      <c r="P2582" s="384"/>
      <c r="Q2582" s="396"/>
      <c r="R2582" s="396"/>
      <c r="S2582" s="396"/>
      <c r="T2582" s="396"/>
      <c r="U2582" s="396"/>
    </row>
    <row r="2583" spans="1:25" ht="30" customHeight="1" thickBot="1" x14ac:dyDescent="0.4">
      <c r="A2583" s="503"/>
      <c r="B2583" s="1212"/>
      <c r="C2583" s="1457"/>
      <c r="D2583" s="1458"/>
      <c r="E2583" s="306"/>
      <c r="F2583" s="422"/>
      <c r="G2583" s="186"/>
      <c r="H2583" s="186"/>
      <c r="I2583" s="186"/>
      <c r="J2583" s="494" t="s">
        <v>37</v>
      </c>
      <c r="K2583" s="201">
        <f>+K2582</f>
        <v>145.76477150102255</v>
      </c>
      <c r="L2583" s="422" t="s">
        <v>4</v>
      </c>
      <c r="M2583" s="50"/>
      <c r="N2583" s="50"/>
      <c r="X2583" s="396"/>
      <c r="Y2583" s="396"/>
    </row>
    <row r="2584" spans="1:25" s="396" customFormat="1" ht="30" customHeight="1" thickBot="1" x14ac:dyDescent="0.4">
      <c r="A2584" s="1199"/>
      <c r="B2584" s="1200"/>
      <c r="C2584" s="1200"/>
      <c r="D2584" s="1200"/>
      <c r="E2584" s="1200"/>
      <c r="F2584" s="1200"/>
      <c r="G2584" s="1200"/>
      <c r="H2584" s="1200"/>
      <c r="I2584" s="1200"/>
      <c r="J2584" s="1200"/>
      <c r="K2584" s="1200"/>
      <c r="L2584" s="1201"/>
      <c r="M2584" s="165"/>
      <c r="N2584" s="50"/>
      <c r="O2584" s="572"/>
      <c r="P2584" s="14"/>
      <c r="Q2584" s="9"/>
      <c r="R2584" s="9"/>
      <c r="S2584" s="9"/>
      <c r="T2584" s="9"/>
      <c r="U2584" s="9"/>
      <c r="X2584" s="9"/>
      <c r="Y2584" s="9"/>
    </row>
    <row r="2585" spans="1:25" ht="30" customHeight="1" x14ac:dyDescent="0.35">
      <c r="A2585" s="388" t="s">
        <v>1</v>
      </c>
      <c r="B2585" s="389">
        <v>5100</v>
      </c>
      <c r="C2585" s="1290" t="s">
        <v>1177</v>
      </c>
      <c r="D2585" s="1291"/>
      <c r="E2585" s="392" t="s">
        <v>3</v>
      </c>
      <c r="F2585" s="393" t="s">
        <v>108</v>
      </c>
      <c r="G2585" s="390" t="s">
        <v>38</v>
      </c>
      <c r="H2585" s="135">
        <v>164705.03342939401</v>
      </c>
      <c r="I2585" s="392" t="s">
        <v>5</v>
      </c>
      <c r="J2585" s="1207" t="s">
        <v>837</v>
      </c>
      <c r="K2585" s="1207"/>
      <c r="L2585" s="1208"/>
      <c r="M2585" s="96"/>
      <c r="N2585" s="50"/>
      <c r="T2585" s="53"/>
      <c r="U2585" s="53"/>
      <c r="X2585" s="396"/>
      <c r="Y2585" s="396"/>
    </row>
    <row r="2586" spans="1:25" s="396" customFormat="1" ht="30" customHeight="1" x14ac:dyDescent="0.35">
      <c r="A2586" s="185" t="s">
        <v>177</v>
      </c>
      <c r="B2586" s="1272" t="s">
        <v>7</v>
      </c>
      <c r="C2586" s="1272"/>
      <c r="D2586" s="1272"/>
      <c r="E2586" s="185" t="s">
        <v>178</v>
      </c>
      <c r="F2586" s="397" t="s">
        <v>52</v>
      </c>
      <c r="G2586" s="1292" t="s">
        <v>9</v>
      </c>
      <c r="H2586" s="1293"/>
      <c r="I2586" s="1221" t="s">
        <v>179</v>
      </c>
      <c r="J2586" s="1222"/>
      <c r="K2586" s="1209" t="s">
        <v>180</v>
      </c>
      <c r="L2586" s="1210"/>
      <c r="M2586" s="96"/>
      <c r="N2586" s="50"/>
      <c r="O2586" s="9"/>
      <c r="P2586" s="14"/>
      <c r="Q2586" s="9"/>
      <c r="R2586" s="9"/>
      <c r="S2586" s="9"/>
      <c r="T2586" s="10"/>
      <c r="U2586" s="10"/>
      <c r="V2586" s="9"/>
      <c r="W2586" s="9"/>
    </row>
    <row r="2587" spans="1:25" s="396" customFormat="1" ht="30" customHeight="1" x14ac:dyDescent="0.35">
      <c r="A2587" s="186">
        <v>51010</v>
      </c>
      <c r="B2587" s="1202" t="s">
        <v>1178</v>
      </c>
      <c r="C2587" s="1203"/>
      <c r="D2587" s="1204"/>
      <c r="E2587" s="203" t="s">
        <v>1179</v>
      </c>
      <c r="F2587" s="194">
        <v>458.11</v>
      </c>
      <c r="G2587" s="186" t="s">
        <v>108</v>
      </c>
      <c r="H2587" s="186"/>
      <c r="I2587" s="1332">
        <f>+'FY2024 MILCON Inflation Table'!F13</f>
        <v>1.4708740491364725</v>
      </c>
      <c r="J2587" s="1333"/>
      <c r="K2587" s="199">
        <f>+F2587*I2587</f>
        <v>673.8221106499094</v>
      </c>
      <c r="L2587" s="401" t="s">
        <v>108</v>
      </c>
      <c r="M2587" s="50"/>
      <c r="N2587" s="50"/>
      <c r="O2587" s="9"/>
      <c r="P2587" s="384"/>
      <c r="V2587" s="9"/>
      <c r="W2587" s="9"/>
    </row>
    <row r="2588" spans="1:25" s="396" customFormat="1" ht="30" customHeight="1" thickBot="1" x14ac:dyDescent="0.4">
      <c r="A2588" s="186"/>
      <c r="B2588" s="1202"/>
      <c r="C2588" s="1203"/>
      <c r="D2588" s="1204"/>
      <c r="E2588" s="520"/>
      <c r="F2588" s="784"/>
      <c r="G2588" s="520"/>
      <c r="H2588" s="750"/>
      <c r="I2588" s="503"/>
      <c r="J2588" s="494" t="s">
        <v>37</v>
      </c>
      <c r="K2588" s="190">
        <f>AVERAGE(K2587:K2587)</f>
        <v>673.8221106499094</v>
      </c>
      <c r="L2588" s="401" t="s">
        <v>108</v>
      </c>
      <c r="M2588" s="50"/>
      <c r="N2588" s="96"/>
      <c r="O2588" s="9"/>
      <c r="P2588" s="14"/>
      <c r="Q2588" s="9"/>
      <c r="R2588" s="9"/>
      <c r="S2588" s="9"/>
      <c r="T2588" s="9"/>
      <c r="U2588" s="9"/>
      <c r="V2588" s="9"/>
      <c r="W2588" s="9"/>
    </row>
    <row r="2589" spans="1:25" s="396" customFormat="1" ht="30" customHeight="1" thickBot="1" x14ac:dyDescent="0.4">
      <c r="A2589" s="1199"/>
      <c r="B2589" s="1200"/>
      <c r="C2589" s="1200"/>
      <c r="D2589" s="1200"/>
      <c r="E2589" s="1200"/>
      <c r="F2589" s="1200"/>
      <c r="G2589" s="1200"/>
      <c r="H2589" s="1200"/>
      <c r="I2589" s="1200"/>
      <c r="J2589" s="1200"/>
      <c r="K2589" s="1200"/>
      <c r="L2589" s="1201"/>
      <c r="M2589" s="50"/>
      <c r="N2589" s="50"/>
      <c r="O2589" s="572"/>
      <c r="P2589" s="14"/>
      <c r="Q2589" s="9"/>
      <c r="R2589" s="9"/>
      <c r="S2589" s="9"/>
      <c r="T2589" s="9"/>
      <c r="U2589" s="9"/>
    </row>
    <row r="2590" spans="1:25" ht="30" customHeight="1" x14ac:dyDescent="0.35">
      <c r="A2590" s="388" t="s">
        <v>1</v>
      </c>
      <c r="B2590" s="389">
        <v>5302</v>
      </c>
      <c r="C2590" s="1205" t="s">
        <v>1180</v>
      </c>
      <c r="D2590" s="1206"/>
      <c r="E2590" s="392" t="s">
        <v>3</v>
      </c>
      <c r="F2590" s="393" t="s">
        <v>108</v>
      </c>
      <c r="G2590" s="390" t="s">
        <v>38</v>
      </c>
      <c r="H2590" s="660">
        <v>7432</v>
      </c>
      <c r="I2590" s="392" t="s">
        <v>5</v>
      </c>
      <c r="J2590" s="1207" t="s">
        <v>2874</v>
      </c>
      <c r="K2590" s="1207"/>
      <c r="L2590" s="1208"/>
      <c r="M2590" s="50"/>
      <c r="N2590" s="50"/>
      <c r="T2590" s="53"/>
      <c r="U2590" s="53"/>
    </row>
    <row r="2591" spans="1:25" s="396" customFormat="1" ht="30" customHeight="1" x14ac:dyDescent="0.35">
      <c r="A2591" s="494" t="s">
        <v>187</v>
      </c>
      <c r="B2591" s="1280" t="s">
        <v>211</v>
      </c>
      <c r="C2591" s="1281"/>
      <c r="D2591" s="1282"/>
      <c r="E2591" s="566" t="s">
        <v>52</v>
      </c>
      <c r="F2591" s="566" t="s">
        <v>53</v>
      </c>
      <c r="G2591" s="1219" t="s">
        <v>54</v>
      </c>
      <c r="H2591" s="1220"/>
      <c r="I2591" s="185" t="s">
        <v>188</v>
      </c>
      <c r="J2591" s="185"/>
      <c r="K2591" s="1209" t="s">
        <v>180</v>
      </c>
      <c r="L2591" s="1210"/>
      <c r="M2591" s="50"/>
      <c r="N2591" s="50"/>
      <c r="O2591" s="384"/>
      <c r="P2591" s="14"/>
      <c r="Q2591" s="9"/>
      <c r="R2591" s="9"/>
      <c r="S2591" s="9"/>
      <c r="T2591" s="10"/>
      <c r="U2591" s="10"/>
      <c r="V2591" s="9"/>
      <c r="W2591" s="9"/>
    </row>
    <row r="2592" spans="1:25" s="396" customFormat="1" ht="30" customHeight="1" x14ac:dyDescent="0.35">
      <c r="A2592" s="186" t="s">
        <v>254</v>
      </c>
      <c r="B2592" s="1212" t="s">
        <v>1181</v>
      </c>
      <c r="C2592" s="1213"/>
      <c r="D2592" s="1214"/>
      <c r="E2592" s="198">
        <v>297</v>
      </c>
      <c r="F2592" s="186" t="s">
        <v>108</v>
      </c>
      <c r="G2592" s="186"/>
      <c r="H2592" s="186"/>
      <c r="I2592" s="186">
        <v>1.1399999999999999</v>
      </c>
      <c r="J2592" s="186"/>
      <c r="K2592" s="194">
        <f>+E2592*I2592</f>
        <v>338.58</v>
      </c>
      <c r="L2592" s="186" t="s">
        <v>108</v>
      </c>
      <c r="M2592" s="50"/>
      <c r="N2592" s="50"/>
      <c r="O2592" s="9"/>
      <c r="P2592" s="14"/>
      <c r="Q2592" s="9"/>
      <c r="R2592" s="9"/>
      <c r="S2592" s="9"/>
      <c r="T2592" s="9"/>
      <c r="U2592" s="9"/>
      <c r="V2592" s="9"/>
      <c r="W2592" s="9"/>
    </row>
    <row r="2593" spans="1:23" s="396" customFormat="1" ht="30" customHeight="1" x14ac:dyDescent="0.35">
      <c r="A2593" s="186" t="s">
        <v>249</v>
      </c>
      <c r="B2593" s="1202" t="s">
        <v>984</v>
      </c>
      <c r="C2593" s="1203"/>
      <c r="D2593" s="1203"/>
      <c r="E2593" s="194">
        <v>5.38</v>
      </c>
      <c r="F2593" s="186" t="s">
        <v>108</v>
      </c>
      <c r="G2593" s="503"/>
      <c r="H2593" s="534"/>
      <c r="I2593" s="186">
        <v>1.1399999999999999</v>
      </c>
      <c r="J2593" s="186"/>
      <c r="K2593" s="194">
        <f>+E2593*I2593</f>
        <v>6.1331999999999995</v>
      </c>
      <c r="L2593" s="186" t="s">
        <v>108</v>
      </c>
      <c r="M2593" s="50"/>
      <c r="N2593" s="50"/>
      <c r="O2593" s="384"/>
      <c r="P2593" s="14"/>
      <c r="Q2593" s="9"/>
      <c r="R2593" s="9"/>
      <c r="S2593" s="9"/>
      <c r="T2593" s="10"/>
      <c r="U2593" s="10"/>
      <c r="V2593" s="9"/>
      <c r="W2593" s="9"/>
    </row>
    <row r="2594" spans="1:23" s="396" customFormat="1" ht="30" customHeight="1" x14ac:dyDescent="0.35">
      <c r="A2594" s="186" t="s">
        <v>268</v>
      </c>
      <c r="B2594" s="1212" t="s">
        <v>1182</v>
      </c>
      <c r="C2594" s="1213"/>
      <c r="D2594" s="1214"/>
      <c r="E2594" s="209">
        <f>(27.5+42.75)/2</f>
        <v>35.125</v>
      </c>
      <c r="F2594" s="186" t="s">
        <v>108</v>
      </c>
      <c r="G2594" s="984">
        <f>81*E2594/H2590</f>
        <v>0.38282090958019377</v>
      </c>
      <c r="H2594" s="534" t="s">
        <v>852</v>
      </c>
      <c r="I2594" s="186">
        <v>0.99</v>
      </c>
      <c r="J2594" s="186"/>
      <c r="K2594" s="194">
        <f t="shared" ref="K2594:K2599" si="59">+G2594*I2594</f>
        <v>0.37899270048439182</v>
      </c>
      <c r="L2594" s="186" t="s">
        <v>108</v>
      </c>
      <c r="M2594" s="50"/>
      <c r="N2594" s="11"/>
      <c r="O2594" s="9"/>
      <c r="P2594" s="384"/>
      <c r="V2594" s="9"/>
      <c r="W2594" s="9"/>
    </row>
    <row r="2595" spans="1:23" ht="30" customHeight="1" x14ac:dyDescent="0.35">
      <c r="A2595" s="186" t="s">
        <v>268</v>
      </c>
      <c r="B2595" s="1212" t="s">
        <v>1048</v>
      </c>
      <c r="C2595" s="1213"/>
      <c r="D2595" s="1214"/>
      <c r="E2595" s="209">
        <f>(2320+3275)/2</f>
        <v>2797.5</v>
      </c>
      <c r="F2595" s="186" t="s">
        <v>40</v>
      </c>
      <c r="G2595" s="193">
        <f>+E2595/H2590</f>
        <v>0.37641280947255112</v>
      </c>
      <c r="H2595" s="534" t="s">
        <v>852</v>
      </c>
      <c r="I2595" s="186">
        <v>0.99</v>
      </c>
      <c r="J2595" s="186"/>
      <c r="K2595" s="194">
        <f t="shared" si="59"/>
        <v>0.37264868137782559</v>
      </c>
      <c r="L2595" s="186" t="s">
        <v>108</v>
      </c>
      <c r="M2595" s="50"/>
      <c r="N2595" s="50"/>
      <c r="O2595" s="396"/>
      <c r="P2595" s="384"/>
      <c r="Q2595" s="396"/>
      <c r="R2595" s="396"/>
      <c r="S2595" s="396"/>
      <c r="T2595" s="396"/>
      <c r="U2595" s="396"/>
    </row>
    <row r="2596" spans="1:23" ht="30" customHeight="1" x14ac:dyDescent="0.35">
      <c r="A2596" s="186" t="s">
        <v>271</v>
      </c>
      <c r="B2596" s="1202" t="s">
        <v>1159</v>
      </c>
      <c r="C2596" s="1203"/>
      <c r="D2596" s="1204"/>
      <c r="E2596" s="194">
        <f>(42.75+102)/2</f>
        <v>72.375</v>
      </c>
      <c r="F2596" s="186" t="s">
        <v>28</v>
      </c>
      <c r="G2596" s="193">
        <f>10*E2596/H2590</f>
        <v>9.7382938643702913E-2</v>
      </c>
      <c r="H2596" s="534" t="s">
        <v>852</v>
      </c>
      <c r="I2596" s="186">
        <v>1.1000000000000001</v>
      </c>
      <c r="J2596" s="186"/>
      <c r="K2596" s="194">
        <f t="shared" si="59"/>
        <v>0.10712123250807322</v>
      </c>
      <c r="L2596" s="186" t="s">
        <v>108</v>
      </c>
      <c r="M2596" s="50"/>
      <c r="N2596" s="50"/>
      <c r="O2596" s="396"/>
      <c r="P2596" s="384"/>
      <c r="Q2596" s="396"/>
      <c r="R2596" s="396"/>
      <c r="S2596" s="396"/>
      <c r="T2596" s="396"/>
      <c r="U2596" s="396"/>
    </row>
    <row r="2597" spans="1:23" ht="30" customHeight="1" x14ac:dyDescent="0.35">
      <c r="A2597" s="186" t="s">
        <v>271</v>
      </c>
      <c r="B2597" s="373" t="s">
        <v>272</v>
      </c>
      <c r="C2597" s="374"/>
      <c r="D2597" s="375"/>
      <c r="E2597" s="194">
        <f>(8000+15300)/2</f>
        <v>11650</v>
      </c>
      <c r="F2597" s="186" t="s">
        <v>40</v>
      </c>
      <c r="G2597" s="193">
        <f>+E2597/H2590</f>
        <v>1.567545748116254</v>
      </c>
      <c r="H2597" s="534" t="s">
        <v>852</v>
      </c>
      <c r="I2597" s="186">
        <v>1.1000000000000001</v>
      </c>
      <c r="J2597" s="186"/>
      <c r="K2597" s="194">
        <f t="shared" si="59"/>
        <v>1.7243003229278795</v>
      </c>
      <c r="L2597" s="186" t="s">
        <v>108</v>
      </c>
      <c r="M2597" s="50"/>
      <c r="N2597" s="50"/>
      <c r="O2597" s="724"/>
    </row>
    <row r="2598" spans="1:23" ht="30" customHeight="1" x14ac:dyDescent="0.35">
      <c r="A2598" s="186" t="s">
        <v>271</v>
      </c>
      <c r="B2598" s="1202" t="s">
        <v>1160</v>
      </c>
      <c r="C2598" s="1203"/>
      <c r="D2598" s="1204"/>
      <c r="E2598" s="194">
        <f>(820+1260)/2</f>
        <v>1040</v>
      </c>
      <c r="F2598" s="186" t="s">
        <v>40</v>
      </c>
      <c r="G2598" s="193">
        <f>+E2598/H2590</f>
        <v>0.13993541442411195</v>
      </c>
      <c r="H2598" s="534" t="s">
        <v>852</v>
      </c>
      <c r="I2598" s="186">
        <v>1.1000000000000001</v>
      </c>
      <c r="J2598" s="186"/>
      <c r="K2598" s="194">
        <f t="shared" si="59"/>
        <v>0.15392895586652316</v>
      </c>
      <c r="L2598" s="186" t="s">
        <v>108</v>
      </c>
      <c r="M2598" s="50"/>
      <c r="N2598" s="50"/>
      <c r="O2598" s="986"/>
      <c r="V2598" s="396"/>
      <c r="W2598" s="396"/>
    </row>
    <row r="2599" spans="1:23" ht="30" customHeight="1" x14ac:dyDescent="0.35">
      <c r="A2599" s="186" t="s">
        <v>271</v>
      </c>
      <c r="B2599" s="1202" t="s">
        <v>273</v>
      </c>
      <c r="C2599" s="1203"/>
      <c r="D2599" s="1204"/>
      <c r="E2599" s="194">
        <f>+(1440+4300)/2</f>
        <v>2870</v>
      </c>
      <c r="F2599" s="186" t="s">
        <v>40</v>
      </c>
      <c r="G2599" s="193">
        <f>+E2599/H2590</f>
        <v>0.38616792249730891</v>
      </c>
      <c r="H2599" s="534" t="s">
        <v>852</v>
      </c>
      <c r="I2599" s="186">
        <v>1.1000000000000001</v>
      </c>
      <c r="J2599" s="186"/>
      <c r="K2599" s="194">
        <f t="shared" si="59"/>
        <v>0.42478471474703983</v>
      </c>
      <c r="L2599" s="186" t="s">
        <v>108</v>
      </c>
      <c r="M2599" s="50"/>
      <c r="N2599" s="50"/>
      <c r="T2599" s="10"/>
      <c r="U2599" s="10"/>
    </row>
    <row r="2600" spans="1:23" ht="30" customHeight="1" x14ac:dyDescent="0.35">
      <c r="A2600" s="186"/>
      <c r="B2600" s="1264"/>
      <c r="C2600" s="1264"/>
      <c r="D2600" s="1264"/>
      <c r="E2600" s="194"/>
      <c r="F2600" s="186"/>
      <c r="G2600" s="503"/>
      <c r="H2600" s="534"/>
      <c r="I2600" s="186"/>
      <c r="J2600" s="186" t="s">
        <v>223</v>
      </c>
      <c r="K2600" s="194">
        <f>SUM(K2592:K2599)</f>
        <v>347.87497660791172</v>
      </c>
      <c r="L2600" s="186" t="s">
        <v>108</v>
      </c>
      <c r="M2600" s="50"/>
      <c r="N2600" s="50"/>
      <c r="T2600" s="10"/>
      <c r="U2600" s="10"/>
    </row>
    <row r="2601" spans="1:23" ht="30" customHeight="1" x14ac:dyDescent="0.35">
      <c r="A2601" s="186"/>
      <c r="B2601" s="567"/>
      <c r="C2601" s="567"/>
      <c r="D2601" s="567"/>
      <c r="E2601" s="194"/>
      <c r="F2601" s="1215" t="s">
        <v>195</v>
      </c>
      <c r="G2601" s="1273" t="s">
        <v>196</v>
      </c>
      <c r="H2601" s="1273"/>
      <c r="I2601" s="1273"/>
      <c r="J2601" s="1273"/>
      <c r="K2601" s="204">
        <v>1.06</v>
      </c>
      <c r="L2601" s="186"/>
      <c r="M2601" s="50"/>
      <c r="N2601" s="50"/>
      <c r="P2601" s="9"/>
      <c r="Q2601" s="34"/>
      <c r="R2601" s="5"/>
      <c r="S2601" s="35"/>
    </row>
    <row r="2602" spans="1:23" ht="30" customHeight="1" x14ac:dyDescent="0.35">
      <c r="A2602" s="186"/>
      <c r="B2602" s="567"/>
      <c r="C2602" s="567"/>
      <c r="D2602" s="567"/>
      <c r="E2602" s="194"/>
      <c r="F2602" s="1216"/>
      <c r="G2602" s="396"/>
      <c r="H2602" s="1356" t="s">
        <v>2875</v>
      </c>
      <c r="I2602" s="1357"/>
      <c r="J2602" s="1358"/>
      <c r="K2602" s="196">
        <v>1.07</v>
      </c>
      <c r="L2602" s="186"/>
      <c r="M2602" s="50"/>
      <c r="N2602" s="96"/>
      <c r="P2602" s="9"/>
      <c r="Q2602" s="34"/>
      <c r="R2602" s="5"/>
      <c r="S2602" s="35"/>
    </row>
    <row r="2603" spans="1:23" ht="30" customHeight="1" x14ac:dyDescent="0.35">
      <c r="A2603" s="186"/>
      <c r="B2603" s="186"/>
      <c r="C2603" s="503"/>
      <c r="D2603" s="503"/>
      <c r="E2603" s="503"/>
      <c r="F2603" s="503"/>
      <c r="G2603" s="503"/>
      <c r="H2603" s="503"/>
      <c r="I2603" s="503"/>
      <c r="J2603" s="186" t="s">
        <v>37</v>
      </c>
      <c r="K2603" s="193">
        <f>+K2600*K2601/K2602</f>
        <v>344.62380860223027</v>
      </c>
      <c r="L2603" s="186" t="s">
        <v>108</v>
      </c>
      <c r="M2603" s="50"/>
      <c r="N2603" s="50"/>
    </row>
    <row r="2604" spans="1:23" ht="30" customHeight="1" x14ac:dyDescent="0.35">
      <c r="A2604" s="186"/>
      <c r="B2604" s="186"/>
      <c r="C2604" s="503"/>
      <c r="D2604" s="503"/>
      <c r="E2604" s="503"/>
      <c r="F2604" s="503"/>
      <c r="G2604" s="1374" t="s">
        <v>257</v>
      </c>
      <c r="H2604" s="1375"/>
      <c r="I2604" s="1376"/>
      <c r="J2604" s="560">
        <f>VLOOKUP(B2590,'Mil Cost Premiums for PUCs'!$A$4:$R$285,18,FALSE)</f>
        <v>1.3319480854780448</v>
      </c>
      <c r="K2604" s="193">
        <f>+K2603*J2604</f>
        <v>459.02102207789272</v>
      </c>
      <c r="L2604" s="186" t="s">
        <v>108</v>
      </c>
      <c r="M2604" s="50"/>
      <c r="N2604" s="50"/>
      <c r="O2604" s="5"/>
      <c r="P2604" s="9"/>
      <c r="Q2604" s="34"/>
      <c r="R2604" s="5"/>
      <c r="S2604" s="35"/>
    </row>
    <row r="2605" spans="1:23" ht="30" customHeight="1" x14ac:dyDescent="0.35">
      <c r="A2605" s="1274" t="s">
        <v>198</v>
      </c>
      <c r="B2605" s="1275"/>
      <c r="C2605" s="1275"/>
      <c r="D2605" s="1275"/>
      <c r="E2605" s="1275"/>
      <c r="F2605" s="1275"/>
      <c r="G2605" s="1275"/>
      <c r="H2605" s="1275"/>
      <c r="I2605" s="1275"/>
      <c r="J2605" s="1275"/>
      <c r="K2605" s="1275"/>
      <c r="L2605" s="1276"/>
      <c r="N2605" s="50"/>
      <c r="O2605" s="5"/>
      <c r="P2605" s="9"/>
      <c r="Q2605" s="34"/>
      <c r="R2605" s="5"/>
      <c r="S2605" s="35"/>
    </row>
    <row r="2606" spans="1:23" ht="30" customHeight="1" x14ac:dyDescent="0.35">
      <c r="A2606" s="1389" t="s">
        <v>199</v>
      </c>
      <c r="B2606" s="1390"/>
      <c r="C2606" s="1391"/>
      <c r="D2606" s="1274" t="s">
        <v>1183</v>
      </c>
      <c r="E2606" s="1275"/>
      <c r="F2606" s="1275"/>
      <c r="G2606" s="1275"/>
      <c r="H2606" s="1275"/>
      <c r="I2606" s="1275"/>
      <c r="J2606" s="1275"/>
      <c r="K2606" s="1275"/>
      <c r="L2606" s="1276"/>
      <c r="M2606" s="50"/>
      <c r="N2606" s="50"/>
      <c r="O2606" s="5"/>
      <c r="P2606" s="9"/>
      <c r="Q2606" s="34"/>
      <c r="R2606" s="5"/>
      <c r="S2606" s="35"/>
    </row>
    <row r="2607" spans="1:23" ht="30" customHeight="1" x14ac:dyDescent="0.35">
      <c r="A2607" s="1389" t="s">
        <v>200</v>
      </c>
      <c r="B2607" s="1390"/>
      <c r="C2607" s="1391"/>
      <c r="D2607" s="1274" t="s">
        <v>1184</v>
      </c>
      <c r="E2607" s="1275"/>
      <c r="F2607" s="1275"/>
      <c r="G2607" s="1275"/>
      <c r="H2607" s="1275"/>
      <c r="I2607" s="1275"/>
      <c r="J2607" s="1275"/>
      <c r="K2607" s="1275"/>
      <c r="L2607" s="1276"/>
      <c r="M2607" s="50"/>
      <c r="N2607" s="50"/>
      <c r="O2607" s="5"/>
      <c r="P2607" s="9"/>
      <c r="Q2607" s="34"/>
      <c r="R2607" s="5"/>
      <c r="S2607" s="35"/>
    </row>
    <row r="2608" spans="1:23" ht="30" customHeight="1" x14ac:dyDescent="0.35">
      <c r="A2608" s="1389" t="s">
        <v>201</v>
      </c>
      <c r="B2608" s="1390"/>
      <c r="C2608" s="1391"/>
      <c r="D2608" s="1274" t="s">
        <v>1185</v>
      </c>
      <c r="E2608" s="1275"/>
      <c r="F2608" s="1275"/>
      <c r="G2608" s="1275"/>
      <c r="H2608" s="1275"/>
      <c r="I2608" s="1275"/>
      <c r="J2608" s="1275"/>
      <c r="K2608" s="1275"/>
      <c r="L2608" s="1276"/>
      <c r="M2608" s="50"/>
      <c r="N2608" s="50"/>
      <c r="O2608" s="5"/>
      <c r="P2608" s="9"/>
      <c r="Q2608" s="34"/>
      <c r="R2608" s="5"/>
      <c r="S2608" s="35"/>
    </row>
    <row r="2609" spans="1:26" ht="30" customHeight="1" x14ac:dyDescent="0.35">
      <c r="A2609" s="1389" t="s">
        <v>202</v>
      </c>
      <c r="B2609" s="1390"/>
      <c r="C2609" s="1391"/>
      <c r="D2609" s="1274" t="s">
        <v>1010</v>
      </c>
      <c r="E2609" s="1275"/>
      <c r="F2609" s="1275"/>
      <c r="G2609" s="1275"/>
      <c r="H2609" s="1275"/>
      <c r="I2609" s="1275"/>
      <c r="J2609" s="1275"/>
      <c r="K2609" s="1275"/>
      <c r="L2609" s="1276"/>
      <c r="M2609" s="50"/>
      <c r="N2609" s="50"/>
      <c r="O2609" s="5"/>
      <c r="P2609" s="9"/>
      <c r="Q2609" s="34"/>
      <c r="R2609" s="5"/>
      <c r="S2609" s="35"/>
    </row>
    <row r="2610" spans="1:26" ht="30" customHeight="1" x14ac:dyDescent="0.35">
      <c r="A2610" s="1389" t="s">
        <v>203</v>
      </c>
      <c r="B2610" s="1390"/>
      <c r="C2610" s="1391"/>
      <c r="D2610" s="1274" t="s">
        <v>1186</v>
      </c>
      <c r="E2610" s="1275"/>
      <c r="F2610" s="1275"/>
      <c r="G2610" s="1275"/>
      <c r="H2610" s="1275"/>
      <c r="I2610" s="1275"/>
      <c r="J2610" s="1275"/>
      <c r="K2610" s="1275"/>
      <c r="L2610" s="1276"/>
      <c r="M2610" s="50"/>
      <c r="N2610" s="50"/>
      <c r="O2610" s="5"/>
      <c r="P2610" s="9"/>
      <c r="Q2610" s="34"/>
      <c r="R2610" s="5"/>
      <c r="S2610" s="35"/>
    </row>
    <row r="2611" spans="1:26" ht="30" customHeight="1" x14ac:dyDescent="0.35">
      <c r="A2611" s="1389" t="s">
        <v>205</v>
      </c>
      <c r="B2611" s="1390"/>
      <c r="C2611" s="1391"/>
      <c r="D2611" s="1274" t="s">
        <v>1187</v>
      </c>
      <c r="E2611" s="1275"/>
      <c r="F2611" s="1275"/>
      <c r="G2611" s="1275"/>
      <c r="H2611" s="1275"/>
      <c r="I2611" s="1275"/>
      <c r="J2611" s="1275"/>
      <c r="K2611" s="1275"/>
      <c r="L2611" s="1276"/>
      <c r="M2611" s="50"/>
      <c r="N2611" s="50"/>
      <c r="O2611" s="5"/>
      <c r="P2611" s="384"/>
      <c r="Q2611" s="396"/>
      <c r="R2611" s="396"/>
      <c r="S2611" s="396"/>
      <c r="T2611" s="396"/>
      <c r="U2611" s="396"/>
    </row>
    <row r="2612" spans="1:26" ht="30" customHeight="1" x14ac:dyDescent="0.35">
      <c r="A2612" s="1389" t="s">
        <v>207</v>
      </c>
      <c r="B2612" s="1390"/>
      <c r="C2612" s="1391"/>
      <c r="D2612" s="1274" t="s">
        <v>1012</v>
      </c>
      <c r="E2612" s="1275"/>
      <c r="F2612" s="1275"/>
      <c r="G2612" s="1275"/>
      <c r="H2612" s="1275"/>
      <c r="I2612" s="1275"/>
      <c r="J2612" s="1275"/>
      <c r="K2612" s="1275"/>
      <c r="L2612" s="1276"/>
      <c r="M2612" s="50"/>
      <c r="N2612" s="50"/>
      <c r="O2612" s="507"/>
      <c r="P2612" s="384"/>
      <c r="Q2612" s="396"/>
      <c r="R2612" s="396"/>
      <c r="S2612" s="396"/>
      <c r="T2612" s="396"/>
      <c r="U2612" s="396"/>
    </row>
    <row r="2613" spans="1:26" ht="30" customHeight="1" x14ac:dyDescent="0.35">
      <c r="A2613" s="1389" t="s">
        <v>208</v>
      </c>
      <c r="B2613" s="1390"/>
      <c r="C2613" s="1391"/>
      <c r="D2613" s="1274" t="s">
        <v>265</v>
      </c>
      <c r="E2613" s="1275"/>
      <c r="F2613" s="1275"/>
      <c r="G2613" s="1275"/>
      <c r="H2613" s="1275"/>
      <c r="I2613" s="1275"/>
      <c r="J2613" s="1275"/>
      <c r="K2613" s="1275"/>
      <c r="L2613" s="1276"/>
      <c r="M2613" s="50"/>
      <c r="N2613" s="50"/>
      <c r="O2613" s="396"/>
      <c r="P2613" s="384"/>
      <c r="Q2613" s="396"/>
      <c r="R2613" s="396"/>
      <c r="S2613" s="396"/>
      <c r="T2613" s="396"/>
      <c r="U2613" s="396"/>
      <c r="V2613" s="396"/>
      <c r="W2613" s="396"/>
    </row>
    <row r="2614" spans="1:26" ht="30" customHeight="1" thickBot="1" x14ac:dyDescent="0.4">
      <c r="A2614" s="1389" t="s">
        <v>224</v>
      </c>
      <c r="B2614" s="1390"/>
      <c r="C2614" s="1391"/>
      <c r="D2614" s="1553" t="s">
        <v>2448</v>
      </c>
      <c r="E2614" s="1554"/>
      <c r="F2614" s="1554"/>
      <c r="G2614" s="1554"/>
      <c r="H2614" s="1554"/>
      <c r="I2614" s="1554"/>
      <c r="J2614" s="1554"/>
      <c r="K2614" s="1554"/>
      <c r="L2614" s="1555"/>
      <c r="M2614" s="50"/>
      <c r="N2614" s="50"/>
    </row>
    <row r="2615" spans="1:26" ht="30" customHeight="1" thickBot="1" x14ac:dyDescent="0.4">
      <c r="A2615" s="1199"/>
      <c r="B2615" s="1200"/>
      <c r="C2615" s="1200"/>
      <c r="D2615" s="1200"/>
      <c r="E2615" s="1200"/>
      <c r="F2615" s="1200"/>
      <c r="G2615" s="1200"/>
      <c r="H2615" s="1200"/>
      <c r="I2615" s="1200"/>
      <c r="J2615" s="1200"/>
      <c r="K2615" s="1200"/>
      <c r="L2615" s="1201"/>
      <c r="M2615" s="50"/>
      <c r="N2615" s="50"/>
      <c r="O2615" s="14"/>
      <c r="P2615" s="384"/>
      <c r="Q2615" s="396"/>
      <c r="R2615" s="396"/>
      <c r="S2615" s="396"/>
      <c r="T2615" s="396"/>
      <c r="U2615" s="396"/>
      <c r="V2615" s="396"/>
      <c r="W2615" s="396"/>
    </row>
    <row r="2616" spans="1:26" ht="30" customHeight="1" x14ac:dyDescent="0.35">
      <c r="A2616" s="388" t="s">
        <v>1</v>
      </c>
      <c r="B2616" s="389">
        <v>5303</v>
      </c>
      <c r="C2616" s="1205" t="s">
        <v>1188</v>
      </c>
      <c r="D2616" s="1206"/>
      <c r="E2616" s="392" t="s">
        <v>3</v>
      </c>
      <c r="F2616" s="393" t="s">
        <v>108</v>
      </c>
      <c r="G2616" s="390" t="s">
        <v>38</v>
      </c>
      <c r="H2616" s="660">
        <v>7024</v>
      </c>
      <c r="I2616" s="392" t="s">
        <v>5</v>
      </c>
      <c r="J2616" s="1207" t="s">
        <v>2874</v>
      </c>
      <c r="K2616" s="1207"/>
      <c r="L2616" s="1208"/>
      <c r="M2616" s="50"/>
      <c r="O2616" s="5"/>
      <c r="P2616" s="384"/>
      <c r="Q2616" s="396"/>
      <c r="R2616" s="396"/>
      <c r="S2616" s="396"/>
      <c r="T2616" s="396"/>
      <c r="U2616" s="396"/>
      <c r="V2616" s="396"/>
      <c r="W2616" s="396"/>
      <c r="X2616" s="1421"/>
      <c r="Y2616" s="1421"/>
      <c r="Z2616" s="1421"/>
    </row>
    <row r="2617" spans="1:26" ht="30" customHeight="1" x14ac:dyDescent="0.35">
      <c r="A2617" s="494" t="s">
        <v>187</v>
      </c>
      <c r="B2617" s="1280" t="s">
        <v>211</v>
      </c>
      <c r="C2617" s="1281"/>
      <c r="D2617" s="1282"/>
      <c r="E2617" s="566" t="s">
        <v>52</v>
      </c>
      <c r="F2617" s="566" t="s">
        <v>53</v>
      </c>
      <c r="G2617" s="1219" t="s">
        <v>54</v>
      </c>
      <c r="H2617" s="1220"/>
      <c r="I2617" s="185" t="s">
        <v>188</v>
      </c>
      <c r="J2617" s="185"/>
      <c r="K2617" s="1209" t="s">
        <v>180</v>
      </c>
      <c r="L2617" s="1210"/>
      <c r="M2617" s="50"/>
      <c r="N2617" s="50"/>
      <c r="O2617" s="5"/>
      <c r="P2617" s="384"/>
      <c r="Q2617" s="396"/>
      <c r="R2617" s="396"/>
      <c r="S2617" s="396"/>
      <c r="T2617" s="396"/>
      <c r="U2617" s="396"/>
      <c r="V2617" s="396"/>
      <c r="W2617" s="396"/>
      <c r="X2617" s="37"/>
      <c r="Y2617" s="1505"/>
      <c r="Z2617" s="1505"/>
    </row>
    <row r="2618" spans="1:26" ht="30" customHeight="1" x14ac:dyDescent="0.35">
      <c r="A2618" s="985" t="s">
        <v>1189</v>
      </c>
      <c r="B2618" s="1202" t="s">
        <v>1190</v>
      </c>
      <c r="C2618" s="1203"/>
      <c r="D2618" s="1204"/>
      <c r="E2618" s="194">
        <v>250</v>
      </c>
      <c r="F2618" s="186" t="s">
        <v>108</v>
      </c>
      <c r="G2618" s="186"/>
      <c r="H2618" s="186"/>
      <c r="I2618" s="222">
        <f>(1.05+1.04)/2</f>
        <v>1.0449999999999999</v>
      </c>
      <c r="J2618" s="204"/>
      <c r="K2618" s="194">
        <f>+E2618*I2618</f>
        <v>261.25</v>
      </c>
      <c r="L2618" s="186" t="s">
        <v>108</v>
      </c>
      <c r="M2618" s="50"/>
      <c r="N2618" s="50"/>
      <c r="O2618" s="5"/>
      <c r="P2618" s="384"/>
      <c r="Q2618" s="396"/>
      <c r="R2618" s="396"/>
      <c r="S2618" s="396"/>
      <c r="T2618" s="396"/>
      <c r="U2618" s="396"/>
      <c r="V2618" s="396"/>
      <c r="W2618" s="396"/>
      <c r="X2618" s="991"/>
      <c r="Y2618" s="683"/>
      <c r="Z2618" s="16"/>
    </row>
    <row r="2619" spans="1:26" ht="30" customHeight="1" x14ac:dyDescent="0.35">
      <c r="A2619" s="985" t="s">
        <v>1191</v>
      </c>
      <c r="B2619" s="1212" t="s">
        <v>1060</v>
      </c>
      <c r="C2619" s="1213"/>
      <c r="D2619" s="1214"/>
      <c r="E2619" s="11">
        <v>5.05</v>
      </c>
      <c r="F2619" s="186" t="s">
        <v>108</v>
      </c>
      <c r="G2619" s="711"/>
      <c r="H2619" s="534"/>
      <c r="I2619" s="222">
        <f>(1.05+1.04)/2</f>
        <v>1.0449999999999999</v>
      </c>
      <c r="J2619" s="204"/>
      <c r="K2619" s="194">
        <f>+E2619*I2619</f>
        <v>5.2772499999999996</v>
      </c>
      <c r="L2619" s="186" t="s">
        <v>108</v>
      </c>
      <c r="M2619" s="50"/>
      <c r="N2619" s="50"/>
      <c r="U2619" s="396"/>
      <c r="V2619" s="396"/>
      <c r="W2619" s="396"/>
      <c r="X2619" s="991"/>
      <c r="Y2619" s="683"/>
      <c r="Z2619" s="16"/>
    </row>
    <row r="2620" spans="1:26" ht="30" customHeight="1" x14ac:dyDescent="0.35">
      <c r="A2620" s="186"/>
      <c r="B2620" s="1264"/>
      <c r="C2620" s="1264"/>
      <c r="D2620" s="1264"/>
      <c r="E2620" s="194"/>
      <c r="F2620" s="186"/>
      <c r="G2620" s="503"/>
      <c r="H2620" s="534"/>
      <c r="I2620" s="186"/>
      <c r="J2620" s="186" t="s">
        <v>223</v>
      </c>
      <c r="K2620" s="194">
        <f>SUM(K2618:K2619)</f>
        <v>266.52724999999998</v>
      </c>
      <c r="L2620" s="186" t="s">
        <v>108</v>
      </c>
      <c r="M2620" s="50"/>
      <c r="N2620" s="50"/>
      <c r="O2620" s="14"/>
      <c r="P2620" s="384"/>
      <c r="Q2620" s="396"/>
      <c r="R2620" s="396"/>
      <c r="S2620" s="396"/>
      <c r="T2620" s="396"/>
      <c r="X2620" s="991"/>
      <c r="Y2620" s="683"/>
      <c r="Z2620" s="16"/>
    </row>
    <row r="2621" spans="1:26" ht="30" customHeight="1" x14ac:dyDescent="0.35">
      <c r="A2621" s="186"/>
      <c r="B2621" s="567"/>
      <c r="C2621" s="567"/>
      <c r="D2621" s="567"/>
      <c r="E2621" s="194"/>
      <c r="F2621" s="1215" t="s">
        <v>195</v>
      </c>
      <c r="G2621" s="1273" t="s">
        <v>196</v>
      </c>
      <c r="H2621" s="1273"/>
      <c r="I2621" s="1273"/>
      <c r="J2621" s="1273"/>
      <c r="K2621" s="204">
        <v>1.06</v>
      </c>
      <c r="L2621" s="186"/>
      <c r="M2621" s="50"/>
      <c r="N2621" s="50"/>
      <c r="O2621" s="5"/>
      <c r="P2621" s="384"/>
      <c r="Q2621" s="396"/>
      <c r="R2621" s="396"/>
      <c r="S2621" s="396"/>
      <c r="T2621" s="396"/>
      <c r="U2621" s="396"/>
      <c r="V2621" s="396"/>
      <c r="W2621" s="396"/>
    </row>
    <row r="2622" spans="1:26" ht="30" customHeight="1" x14ac:dyDescent="0.35">
      <c r="A2622" s="186"/>
      <c r="B2622" s="567"/>
      <c r="C2622" s="567"/>
      <c r="D2622" s="567"/>
      <c r="E2622" s="194"/>
      <c r="F2622" s="1216"/>
      <c r="G2622" s="1268" t="s">
        <v>2875</v>
      </c>
      <c r="H2622" s="1268"/>
      <c r="I2622" s="1268"/>
      <c r="J2622" s="1268"/>
      <c r="K2622" s="196">
        <v>1.07</v>
      </c>
      <c r="L2622" s="186"/>
      <c r="M2622" s="50"/>
      <c r="N2622" s="50"/>
      <c r="O2622" s="5"/>
      <c r="P2622" s="384"/>
      <c r="Q2622" s="396"/>
      <c r="R2622" s="396"/>
      <c r="S2622" s="396"/>
      <c r="T2622" s="396"/>
      <c r="U2622" s="396"/>
      <c r="V2622" s="396"/>
      <c r="W2622" s="396"/>
    </row>
    <row r="2623" spans="1:26" ht="30" customHeight="1" x14ac:dyDescent="0.35">
      <c r="A2623" s="186"/>
      <c r="B2623" s="186"/>
      <c r="C2623" s="503"/>
      <c r="D2623" s="503"/>
      <c r="E2623" s="503"/>
      <c r="F2623" s="503"/>
      <c r="G2623" s="503"/>
      <c r="H2623" s="503"/>
      <c r="I2623" s="503"/>
      <c r="J2623" s="186" t="s">
        <v>37</v>
      </c>
      <c r="K2623" s="193">
        <f>+K2620*K2621/K2622</f>
        <v>264.0363411214953</v>
      </c>
      <c r="L2623" s="186" t="s">
        <v>108</v>
      </c>
      <c r="M2623" s="50"/>
      <c r="N2623" s="50"/>
      <c r="O2623" s="5"/>
      <c r="P2623" s="384"/>
      <c r="Q2623" s="396"/>
      <c r="R2623" s="396"/>
      <c r="S2623" s="396"/>
      <c r="T2623" s="396"/>
      <c r="U2623" s="396"/>
      <c r="V2623" s="396"/>
      <c r="W2623" s="396"/>
    </row>
    <row r="2624" spans="1:26" ht="30" customHeight="1" thickBot="1" x14ac:dyDescent="0.4">
      <c r="A2624" s="186"/>
      <c r="B2624" s="186"/>
      <c r="C2624" s="503"/>
      <c r="D2624" s="503"/>
      <c r="E2624" s="503"/>
      <c r="F2624" s="503"/>
      <c r="G2624" s="1374" t="s">
        <v>257</v>
      </c>
      <c r="H2624" s="1375"/>
      <c r="I2624" s="1376"/>
      <c r="J2624" s="560">
        <f>VLOOKUP(B2616,'Mil Cost Premiums for PUCs'!$A$4:$R$285,18,FALSE)</f>
        <v>1.3319480854780448</v>
      </c>
      <c r="K2624" s="193">
        <f>+K2623*J2624</f>
        <v>351.68269905340361</v>
      </c>
      <c r="L2624" s="186" t="s">
        <v>108</v>
      </c>
      <c r="M2624" s="50"/>
      <c r="N2624" s="50"/>
      <c r="P2624" s="9"/>
      <c r="Q2624" s="34"/>
      <c r="R2624" s="5"/>
      <c r="S2624" s="35"/>
      <c r="U2624" s="396"/>
      <c r="V2624" s="396"/>
      <c r="W2624" s="396"/>
    </row>
    <row r="2625" spans="1:19" ht="30" customHeight="1" thickBot="1" x14ac:dyDescent="0.4">
      <c r="A2625" s="1199"/>
      <c r="B2625" s="1200"/>
      <c r="C2625" s="1200"/>
      <c r="D2625" s="1200"/>
      <c r="E2625" s="1200"/>
      <c r="F2625" s="1200"/>
      <c r="G2625" s="1200"/>
      <c r="H2625" s="1200"/>
      <c r="I2625" s="1200"/>
      <c r="J2625" s="1200"/>
      <c r="K2625" s="1200"/>
      <c r="L2625" s="1201"/>
      <c r="N2625" s="50"/>
      <c r="O2625" s="5"/>
      <c r="P2625" s="9"/>
      <c r="Q2625" s="34"/>
      <c r="R2625" s="5"/>
      <c r="S2625" s="35"/>
    </row>
    <row r="2626" spans="1:19" ht="30" customHeight="1" x14ac:dyDescent="0.35">
      <c r="A2626" s="388" t="s">
        <v>1</v>
      </c>
      <c r="B2626" s="389">
        <v>5304</v>
      </c>
      <c r="C2626" s="1290" t="s">
        <v>1192</v>
      </c>
      <c r="D2626" s="1291"/>
      <c r="E2626" s="392" t="s">
        <v>3</v>
      </c>
      <c r="F2626" s="393" t="s">
        <v>108</v>
      </c>
      <c r="G2626" s="390" t="s">
        <v>38</v>
      </c>
      <c r="H2626" s="195">
        <v>7347.6172549019602</v>
      </c>
      <c r="I2626" s="392" t="s">
        <v>5</v>
      </c>
      <c r="J2626" s="1304" t="s">
        <v>2861</v>
      </c>
      <c r="K2626" s="1305"/>
      <c r="L2626" s="1306"/>
      <c r="M2626" s="50"/>
      <c r="N2626" s="50"/>
      <c r="O2626" s="5"/>
      <c r="P2626" s="9"/>
      <c r="Q2626" s="34"/>
      <c r="R2626" s="5"/>
      <c r="S2626" s="35"/>
    </row>
    <row r="2627" spans="1:19" ht="30" customHeight="1" x14ac:dyDescent="0.35">
      <c r="A2627" s="185" t="s">
        <v>177</v>
      </c>
      <c r="B2627" s="1272" t="s">
        <v>7</v>
      </c>
      <c r="C2627" s="1272"/>
      <c r="D2627" s="1272"/>
      <c r="E2627" s="492" t="s">
        <v>178</v>
      </c>
      <c r="F2627" s="397" t="s">
        <v>52</v>
      </c>
      <c r="G2627" s="185"/>
      <c r="H2627" s="185"/>
      <c r="I2627" s="1221" t="s">
        <v>179</v>
      </c>
      <c r="J2627" s="1222"/>
      <c r="K2627" s="1209" t="s">
        <v>180</v>
      </c>
      <c r="L2627" s="1210"/>
      <c r="M2627" s="50"/>
      <c r="N2627" s="50"/>
      <c r="O2627" s="5"/>
      <c r="P2627" s="9"/>
      <c r="Q2627" s="34"/>
      <c r="R2627" s="5"/>
      <c r="S2627" s="35"/>
    </row>
    <row r="2628" spans="1:19" ht="30" customHeight="1" x14ac:dyDescent="0.35">
      <c r="A2628" s="401" t="s">
        <v>181</v>
      </c>
      <c r="B2628" s="1265" t="s">
        <v>2939</v>
      </c>
      <c r="C2628" s="1265"/>
      <c r="D2628" s="1265"/>
      <c r="E2628" s="531">
        <v>15000</v>
      </c>
      <c r="F2628" s="187">
        <v>795</v>
      </c>
      <c r="G2628" s="532"/>
      <c r="H2628" s="533"/>
      <c r="I2628" s="1217" t="str">
        <f>+$I$310</f>
        <v>NA;  GUCs are as of October 2023</v>
      </c>
      <c r="J2628" s="1218"/>
      <c r="K2628" s="187">
        <f>+F2628</f>
        <v>795</v>
      </c>
      <c r="L2628" s="401" t="s">
        <v>108</v>
      </c>
      <c r="M2628" s="50"/>
      <c r="N2628" s="50"/>
      <c r="O2628" s="5"/>
      <c r="P2628" s="9"/>
      <c r="Q2628" s="34"/>
      <c r="R2628" s="5"/>
      <c r="S2628" s="35"/>
    </row>
    <row r="2629" spans="1:19" ht="30" customHeight="1" thickBot="1" x14ac:dyDescent="0.4">
      <c r="A2629" s="186"/>
      <c r="B2629" s="1264"/>
      <c r="C2629" s="1264"/>
      <c r="D2629" s="1264"/>
      <c r="E2629" s="535"/>
      <c r="F2629" s="536"/>
      <c r="G2629" s="536"/>
      <c r="H2629" s="537"/>
      <c r="I2629" s="503"/>
      <c r="J2629" s="494" t="s">
        <v>37</v>
      </c>
      <c r="K2629" s="193">
        <f>+K2628</f>
        <v>795</v>
      </c>
      <c r="L2629" s="186" t="s">
        <v>108</v>
      </c>
      <c r="M2629" s="50"/>
      <c r="N2629" s="50"/>
      <c r="O2629" s="5"/>
      <c r="P2629" s="9"/>
      <c r="Q2629" s="34"/>
      <c r="R2629" s="5"/>
      <c r="S2629" s="35"/>
    </row>
    <row r="2630" spans="1:19" ht="30" customHeight="1" thickBot="1" x14ac:dyDescent="0.4">
      <c r="A2630" s="385"/>
      <c r="B2630" s="386"/>
      <c r="C2630" s="386"/>
      <c r="D2630" s="386"/>
      <c r="E2630" s="386"/>
      <c r="F2630" s="386"/>
      <c r="G2630" s="386"/>
      <c r="H2630" s="386"/>
      <c r="I2630" s="386"/>
      <c r="J2630" s="386"/>
      <c r="K2630" s="386"/>
      <c r="L2630" s="387"/>
      <c r="M2630" s="50"/>
      <c r="N2630" s="50"/>
      <c r="O2630" s="5"/>
      <c r="P2630" s="9"/>
      <c r="Q2630" s="34"/>
      <c r="R2630" s="5"/>
      <c r="S2630" s="35"/>
    </row>
    <row r="2631" spans="1:19" ht="30" customHeight="1" x14ac:dyDescent="0.35">
      <c r="A2631" s="388" t="s">
        <v>1</v>
      </c>
      <c r="B2631" s="389">
        <v>5306</v>
      </c>
      <c r="C2631" s="1205" t="s">
        <v>1194</v>
      </c>
      <c r="D2631" s="1206"/>
      <c r="E2631" s="392" t="s">
        <v>3</v>
      </c>
      <c r="F2631" s="393" t="s">
        <v>108</v>
      </c>
      <c r="G2631" s="390" t="s">
        <v>38</v>
      </c>
      <c r="H2631" s="660">
        <v>11919</v>
      </c>
      <c r="I2631" s="392" t="s">
        <v>5</v>
      </c>
      <c r="J2631" s="1207" t="s">
        <v>186</v>
      </c>
      <c r="K2631" s="1207"/>
      <c r="L2631" s="1208"/>
      <c r="M2631" s="50"/>
      <c r="N2631" s="50"/>
      <c r="O2631" s="5"/>
      <c r="P2631" s="9"/>
      <c r="Q2631" s="34"/>
      <c r="R2631" s="5"/>
      <c r="S2631" s="35"/>
    </row>
    <row r="2632" spans="1:19" ht="30" customHeight="1" x14ac:dyDescent="0.35">
      <c r="A2632" s="494" t="s">
        <v>187</v>
      </c>
      <c r="B2632" s="1280" t="s">
        <v>211</v>
      </c>
      <c r="C2632" s="1281"/>
      <c r="D2632" s="1282"/>
      <c r="E2632" s="566" t="s">
        <v>52</v>
      </c>
      <c r="F2632" s="566" t="s">
        <v>53</v>
      </c>
      <c r="G2632" s="1219" t="s">
        <v>54</v>
      </c>
      <c r="H2632" s="1220"/>
      <c r="I2632" s="185" t="s">
        <v>188</v>
      </c>
      <c r="J2632" s="185"/>
      <c r="K2632" s="1209" t="s">
        <v>180</v>
      </c>
      <c r="L2632" s="1210"/>
      <c r="M2632" s="50"/>
      <c r="N2632" s="50"/>
      <c r="O2632" s="5"/>
      <c r="P2632" s="9"/>
      <c r="Q2632" s="34"/>
      <c r="R2632" s="5"/>
      <c r="S2632" s="35"/>
    </row>
    <row r="2633" spans="1:19" ht="30" customHeight="1" x14ac:dyDescent="0.35">
      <c r="A2633" s="985" t="s">
        <v>1133</v>
      </c>
      <c r="B2633" s="1202" t="s">
        <v>1195</v>
      </c>
      <c r="C2633" s="1203"/>
      <c r="D2633" s="1204"/>
      <c r="E2633" s="194">
        <v>86.5</v>
      </c>
      <c r="F2633" s="186" t="s">
        <v>108</v>
      </c>
      <c r="G2633" s="186"/>
      <c r="H2633" s="186"/>
      <c r="I2633" s="204">
        <f>(1.16+1.19)/2</f>
        <v>1.1749999999999998</v>
      </c>
      <c r="J2633" s="204"/>
      <c r="K2633" s="194">
        <f>+E2633*I2633</f>
        <v>101.63749999999999</v>
      </c>
      <c r="L2633" s="186" t="s">
        <v>108</v>
      </c>
      <c r="M2633" s="50"/>
      <c r="N2633" s="50"/>
      <c r="O2633" s="5"/>
      <c r="P2633" s="9"/>
      <c r="Q2633" s="34"/>
      <c r="R2633" s="5"/>
      <c r="S2633" s="35"/>
    </row>
    <row r="2634" spans="1:19" ht="30" customHeight="1" x14ac:dyDescent="0.35">
      <c r="A2634" s="987" t="s">
        <v>1133</v>
      </c>
      <c r="B2634" s="1511" t="s">
        <v>1196</v>
      </c>
      <c r="C2634" s="1512"/>
      <c r="D2634" s="1256"/>
      <c r="E2634" s="13">
        <v>24.25</v>
      </c>
      <c r="F2634" s="186" t="s">
        <v>108</v>
      </c>
      <c r="G2634" s="661"/>
      <c r="H2634" s="755"/>
      <c r="I2634" s="204">
        <f>(1.16+1.19)/2</f>
        <v>1.1749999999999998</v>
      </c>
      <c r="J2634" s="204"/>
      <c r="K2634" s="194">
        <f>+E2634*I2634</f>
        <v>28.493749999999995</v>
      </c>
      <c r="L2634" s="186" t="s">
        <v>108</v>
      </c>
      <c r="M2634" s="50"/>
      <c r="N2634" s="50"/>
      <c r="O2634" s="5"/>
      <c r="P2634" s="9"/>
      <c r="Q2634" s="34"/>
      <c r="R2634" s="5"/>
      <c r="S2634" s="35"/>
    </row>
    <row r="2635" spans="1:19" ht="30" customHeight="1" x14ac:dyDescent="0.35">
      <c r="A2635" s="985" t="s">
        <v>249</v>
      </c>
      <c r="B2635" s="1264" t="s">
        <v>984</v>
      </c>
      <c r="C2635" s="1264"/>
      <c r="D2635" s="1264"/>
      <c r="E2635" s="193">
        <v>4.38</v>
      </c>
      <c r="F2635" s="186" t="s">
        <v>108</v>
      </c>
      <c r="G2635" s="503"/>
      <c r="H2635" s="534"/>
      <c r="I2635" s="204">
        <f>(1.16+1.19)/2</f>
        <v>1.1749999999999998</v>
      </c>
      <c r="J2635" s="204"/>
      <c r="K2635" s="194">
        <f>+E2635*I2635</f>
        <v>5.1464999999999987</v>
      </c>
      <c r="L2635" s="186" t="s">
        <v>108</v>
      </c>
      <c r="M2635" s="50"/>
      <c r="N2635" s="50"/>
      <c r="O2635" s="5"/>
      <c r="P2635" s="9"/>
      <c r="Q2635" s="34"/>
      <c r="R2635" s="5"/>
      <c r="S2635" s="35"/>
    </row>
    <row r="2636" spans="1:19" ht="30" customHeight="1" x14ac:dyDescent="0.35">
      <c r="A2636" s="186"/>
      <c r="B2636" s="1264"/>
      <c r="C2636" s="1264"/>
      <c r="D2636" s="1264"/>
      <c r="E2636" s="194"/>
      <c r="F2636" s="186"/>
      <c r="G2636" s="503"/>
      <c r="H2636" s="534"/>
      <c r="I2636" s="186"/>
      <c r="J2636" s="186" t="s">
        <v>223</v>
      </c>
      <c r="K2636" s="194">
        <f>SUM(K2633:K2635)</f>
        <v>135.27775</v>
      </c>
      <c r="L2636" s="186" t="s">
        <v>108</v>
      </c>
      <c r="M2636" s="50"/>
      <c r="N2636" s="50"/>
      <c r="O2636" s="5"/>
      <c r="P2636" s="9"/>
      <c r="Q2636" s="34"/>
      <c r="R2636" s="5"/>
      <c r="S2636" s="35"/>
    </row>
    <row r="2637" spans="1:19" ht="30" customHeight="1" x14ac:dyDescent="0.35">
      <c r="A2637" s="186"/>
      <c r="B2637" s="1484"/>
      <c r="C2637" s="1485"/>
      <c r="D2637" s="1486"/>
      <c r="E2637" s="194"/>
      <c r="F2637" s="1215" t="s">
        <v>195</v>
      </c>
      <c r="G2637" s="1273" t="s">
        <v>196</v>
      </c>
      <c r="H2637" s="1273"/>
      <c r="I2637" s="1273"/>
      <c r="J2637" s="1273"/>
      <c r="K2637" s="204">
        <f>(1.05+1.08)/2</f>
        <v>1.0649999999999999</v>
      </c>
      <c r="L2637" s="186"/>
      <c r="M2637" s="50"/>
      <c r="N2637" s="50"/>
      <c r="O2637" s="5"/>
      <c r="P2637" s="9"/>
      <c r="Q2637" s="34"/>
      <c r="R2637" s="5"/>
      <c r="S2637" s="35"/>
    </row>
    <row r="2638" spans="1:19" ht="30" customHeight="1" x14ac:dyDescent="0.35">
      <c r="A2638" s="186"/>
      <c r="B2638" s="1481"/>
      <c r="C2638" s="1482"/>
      <c r="D2638" s="1483"/>
      <c r="E2638" s="194"/>
      <c r="F2638" s="1216"/>
      <c r="G2638" s="1268" t="s">
        <v>197</v>
      </c>
      <c r="H2638" s="1268"/>
      <c r="I2638" s="1268"/>
      <c r="J2638" s="1268"/>
      <c r="K2638" s="196">
        <v>1.06</v>
      </c>
      <c r="L2638" s="186"/>
      <c r="M2638" s="50"/>
      <c r="N2638" s="50"/>
      <c r="O2638" s="5"/>
      <c r="P2638" s="9"/>
      <c r="Q2638" s="34"/>
      <c r="R2638" s="5"/>
      <c r="S2638" s="35"/>
    </row>
    <row r="2639" spans="1:19" ht="30" customHeight="1" x14ac:dyDescent="0.35">
      <c r="A2639" s="186"/>
      <c r="B2639" s="186"/>
      <c r="C2639" s="503"/>
      <c r="D2639" s="503"/>
      <c r="E2639" s="503"/>
      <c r="F2639" s="503"/>
      <c r="G2639" s="503"/>
      <c r="H2639" s="503"/>
      <c r="I2639" s="503"/>
      <c r="J2639" s="186" t="s">
        <v>37</v>
      </c>
      <c r="K2639" s="193">
        <f>+K2636*K2637/K2638</f>
        <v>135.91585259433961</v>
      </c>
      <c r="L2639" s="186" t="s">
        <v>108</v>
      </c>
      <c r="M2639" s="50"/>
      <c r="N2639" s="50"/>
      <c r="O2639" s="5"/>
      <c r="P2639" s="9"/>
      <c r="Q2639" s="34"/>
      <c r="R2639" s="5"/>
      <c r="S2639" s="35"/>
    </row>
    <row r="2640" spans="1:19" ht="30" customHeight="1" x14ac:dyDescent="0.35">
      <c r="A2640" s="186"/>
      <c r="B2640" s="186"/>
      <c r="C2640" s="503"/>
      <c r="D2640" s="503"/>
      <c r="E2640" s="503"/>
      <c r="F2640" s="503"/>
      <c r="G2640" s="1374" t="s">
        <v>257</v>
      </c>
      <c r="H2640" s="1375"/>
      <c r="I2640" s="1376"/>
      <c r="J2640" s="560">
        <f>VLOOKUP(B2631,'Mil Cost Premiums for PUCs'!$A$4:$R$285,18,FALSE)</f>
        <v>1.2981950150858137</v>
      </c>
      <c r="K2640" s="193">
        <f>+K2639*J2640</f>
        <v>176.44528230910996</v>
      </c>
      <c r="L2640" s="186" t="s">
        <v>108</v>
      </c>
      <c r="M2640" s="50"/>
      <c r="N2640" s="50"/>
      <c r="O2640" s="5"/>
      <c r="P2640" s="9"/>
      <c r="Q2640" s="34"/>
      <c r="R2640" s="5"/>
      <c r="S2640" s="35"/>
    </row>
    <row r="2641" spans="1:23" ht="30" customHeight="1" x14ac:dyDescent="0.35">
      <c r="A2641" s="569"/>
      <c r="B2641" s="569"/>
      <c r="C2641" s="510"/>
      <c r="D2641" s="510"/>
      <c r="E2641" s="510"/>
      <c r="F2641" s="510"/>
      <c r="G2641" s="1191" t="s">
        <v>2817</v>
      </c>
      <c r="H2641" s="1192"/>
      <c r="I2641" s="1193"/>
      <c r="J2641" s="570">
        <v>1.1214</v>
      </c>
      <c r="K2641" s="285">
        <f>+K2640*J2641</f>
        <v>197.86573958143589</v>
      </c>
      <c r="L2641" s="186" t="s">
        <v>108</v>
      </c>
      <c r="M2641" s="50"/>
      <c r="N2641" s="50"/>
      <c r="O2641" s="5"/>
      <c r="P2641" s="9"/>
      <c r="Q2641" s="34"/>
      <c r="R2641" s="5"/>
      <c r="S2641" s="35"/>
    </row>
    <row r="2642" spans="1:23" ht="30" customHeight="1" thickBot="1" x14ac:dyDescent="0.4">
      <c r="A2642" s="569"/>
      <c r="B2642" s="569"/>
      <c r="C2642" s="510"/>
      <c r="D2642" s="510"/>
      <c r="E2642" s="510"/>
      <c r="F2642" s="510"/>
      <c r="G2642" s="1191" t="s">
        <v>3000</v>
      </c>
      <c r="H2642" s="1192"/>
      <c r="I2642" s="1193"/>
      <c r="J2642" s="570">
        <v>1.0438745311870361</v>
      </c>
      <c r="K2642" s="285">
        <f>+K2641*J2642</f>
        <v>206.54700614354755</v>
      </c>
      <c r="L2642" s="186" t="s">
        <v>108</v>
      </c>
      <c r="M2642" s="50"/>
    </row>
    <row r="2643" spans="1:23" ht="30" customHeight="1" thickBot="1" x14ac:dyDescent="0.4">
      <c r="A2643" s="1199"/>
      <c r="B2643" s="1200"/>
      <c r="C2643" s="1200"/>
      <c r="D2643" s="1200"/>
      <c r="E2643" s="1200"/>
      <c r="F2643" s="1200"/>
      <c r="G2643" s="1200"/>
      <c r="H2643" s="1200"/>
      <c r="I2643" s="1200"/>
      <c r="J2643" s="1200"/>
      <c r="K2643" s="1200"/>
      <c r="L2643" s="1201"/>
      <c r="N2643" s="50"/>
      <c r="O2643" s="5"/>
      <c r="P2643" s="9"/>
      <c r="Q2643" s="34"/>
      <c r="R2643" s="5"/>
      <c r="S2643" s="35"/>
    </row>
    <row r="2644" spans="1:23" ht="30" customHeight="1" x14ac:dyDescent="0.35">
      <c r="A2644" s="388" t="s">
        <v>1</v>
      </c>
      <c r="B2644" s="389">
        <v>5307</v>
      </c>
      <c r="C2644" s="1205" t="s">
        <v>2906</v>
      </c>
      <c r="D2644" s="1206"/>
      <c r="E2644" s="392" t="s">
        <v>3</v>
      </c>
      <c r="F2644" s="393" t="s">
        <v>108</v>
      </c>
      <c r="G2644" s="390" t="s">
        <v>38</v>
      </c>
      <c r="H2644" s="660">
        <v>1729</v>
      </c>
      <c r="I2644" s="392" t="s">
        <v>5</v>
      </c>
      <c r="J2644" s="1207" t="s">
        <v>2874</v>
      </c>
      <c r="K2644" s="1207"/>
      <c r="L2644" s="1208"/>
      <c r="M2644" s="50"/>
      <c r="N2644" s="50"/>
      <c r="O2644" s="5"/>
      <c r="P2644" s="9"/>
      <c r="Q2644" s="34"/>
      <c r="R2644" s="5"/>
      <c r="S2644" s="35"/>
    </row>
    <row r="2645" spans="1:23" ht="30" customHeight="1" x14ac:dyDescent="0.35">
      <c r="A2645" s="494" t="s">
        <v>187</v>
      </c>
      <c r="B2645" s="1280" t="s">
        <v>211</v>
      </c>
      <c r="C2645" s="1281"/>
      <c r="D2645" s="1282"/>
      <c r="E2645" s="566" t="s">
        <v>52</v>
      </c>
      <c r="F2645" s="566" t="s">
        <v>53</v>
      </c>
      <c r="G2645" s="1219" t="s">
        <v>54</v>
      </c>
      <c r="H2645" s="1220"/>
      <c r="I2645" s="185" t="s">
        <v>188</v>
      </c>
      <c r="J2645" s="185"/>
      <c r="K2645" s="1209" t="s">
        <v>180</v>
      </c>
      <c r="L2645" s="1210"/>
      <c r="M2645" s="50"/>
      <c r="N2645" s="50"/>
      <c r="O2645" s="5"/>
      <c r="P2645" s="9"/>
      <c r="Q2645" s="34"/>
      <c r="R2645" s="5"/>
      <c r="S2645" s="35"/>
    </row>
    <row r="2646" spans="1:23" ht="30" customHeight="1" x14ac:dyDescent="0.35">
      <c r="A2646" s="985" t="s">
        <v>1162</v>
      </c>
      <c r="B2646" s="1202" t="s">
        <v>1197</v>
      </c>
      <c r="C2646" s="1203"/>
      <c r="D2646" s="1204"/>
      <c r="E2646" s="194">
        <v>97</v>
      </c>
      <c r="F2646" s="186" t="s">
        <v>108</v>
      </c>
      <c r="G2646" s="186"/>
      <c r="H2646" s="186"/>
      <c r="I2646" s="204">
        <v>1.1399999999999999</v>
      </c>
      <c r="J2646" s="204"/>
      <c r="K2646" s="194">
        <f>+E2646*I2646</f>
        <v>110.57999999999998</v>
      </c>
      <c r="L2646" s="186" t="s">
        <v>108</v>
      </c>
      <c r="M2646" s="50"/>
      <c r="N2646" s="50"/>
      <c r="O2646" s="5"/>
      <c r="P2646" s="9"/>
      <c r="Q2646" s="34"/>
      <c r="R2646" s="5"/>
      <c r="S2646" s="35"/>
      <c r="U2646" s="384"/>
      <c r="V2646" s="113"/>
      <c r="W2646" s="466"/>
    </row>
    <row r="2647" spans="1:23" ht="30" customHeight="1" x14ac:dyDescent="0.35">
      <c r="A2647" s="989" t="s">
        <v>2907</v>
      </c>
      <c r="B2647" s="1212" t="s">
        <v>2908</v>
      </c>
      <c r="C2647" s="1213"/>
      <c r="D2647" s="1214"/>
      <c r="E2647" s="194">
        <v>10.3</v>
      </c>
      <c r="F2647" s="186" t="s">
        <v>108</v>
      </c>
      <c r="G2647" s="990"/>
      <c r="H2647" s="271"/>
      <c r="I2647" s="204">
        <v>1.1399999999999999</v>
      </c>
      <c r="J2647" s="782"/>
      <c r="K2647" s="194">
        <f>+E2647*I2647</f>
        <v>11.741999999999999</v>
      </c>
      <c r="L2647" s="186" t="s">
        <v>108</v>
      </c>
      <c r="M2647" s="50"/>
      <c r="N2647" s="50"/>
      <c r="O2647" s="507"/>
      <c r="P2647" s="507"/>
      <c r="Q2647" s="1508"/>
      <c r="R2647" s="1508"/>
      <c r="S2647" s="466"/>
      <c r="T2647" s="396"/>
      <c r="U2647" s="1505"/>
      <c r="V2647" s="1505"/>
      <c r="W2647" s="37"/>
    </row>
    <row r="2648" spans="1:23" ht="30" customHeight="1" x14ac:dyDescent="0.35">
      <c r="A2648" s="985" t="s">
        <v>249</v>
      </c>
      <c r="B2648" s="1212" t="s">
        <v>968</v>
      </c>
      <c r="C2648" s="1213"/>
      <c r="D2648" s="1214"/>
      <c r="E2648" s="194">
        <v>5.0999999999999996</v>
      </c>
      <c r="F2648" s="186" t="s">
        <v>108</v>
      </c>
      <c r="G2648" s="711"/>
      <c r="H2648" s="534"/>
      <c r="I2648" s="204">
        <v>1.1399999999999999</v>
      </c>
      <c r="J2648" s="204"/>
      <c r="K2648" s="194">
        <f>+E2648*I2648</f>
        <v>5.8139999999999992</v>
      </c>
      <c r="L2648" s="186" t="s">
        <v>108</v>
      </c>
      <c r="M2648" s="50"/>
      <c r="N2648" s="50"/>
      <c r="O2648" s="37"/>
      <c r="P2648" s="1504"/>
      <c r="Q2648" s="1504"/>
      <c r="R2648" s="1504"/>
      <c r="S2648" s="37"/>
      <c r="T2648" s="37"/>
      <c r="U2648" s="1507"/>
      <c r="V2648" s="1507"/>
      <c r="W2648" s="16"/>
    </row>
    <row r="2649" spans="1:23" ht="30" customHeight="1" x14ac:dyDescent="0.35">
      <c r="A2649" s="186"/>
      <c r="B2649" s="1264"/>
      <c r="C2649" s="1264"/>
      <c r="D2649" s="1264"/>
      <c r="E2649" s="194"/>
      <c r="F2649" s="186"/>
      <c r="G2649" s="503"/>
      <c r="H2649" s="534"/>
      <c r="I2649" s="186"/>
      <c r="J2649" s="186" t="s">
        <v>223</v>
      </c>
      <c r="K2649" s="194">
        <f>SUM(K2646:K2648)</f>
        <v>128.136</v>
      </c>
      <c r="L2649" s="186" t="s">
        <v>108</v>
      </c>
      <c r="M2649" s="96"/>
      <c r="N2649" s="50"/>
      <c r="O2649" s="472"/>
      <c r="P2649" s="1506"/>
      <c r="Q2649" s="1506"/>
      <c r="R2649" s="1506"/>
      <c r="S2649" s="993"/>
      <c r="T2649" s="16"/>
      <c r="U2649" s="991"/>
      <c r="V2649" s="991"/>
      <c r="W2649" s="16"/>
    </row>
    <row r="2650" spans="1:23" ht="30" customHeight="1" x14ac:dyDescent="0.35">
      <c r="A2650" s="186"/>
      <c r="B2650" s="1484"/>
      <c r="C2650" s="1485"/>
      <c r="D2650" s="1486"/>
      <c r="E2650" s="194"/>
      <c r="F2650" s="1215" t="s">
        <v>195</v>
      </c>
      <c r="G2650" s="1273" t="s">
        <v>196</v>
      </c>
      <c r="H2650" s="1273"/>
      <c r="I2650" s="1273"/>
      <c r="J2650" s="1273"/>
      <c r="K2650" s="204">
        <v>1.07</v>
      </c>
      <c r="L2650" s="186"/>
      <c r="M2650" s="50"/>
      <c r="N2650" s="50"/>
      <c r="O2650" s="472"/>
      <c r="P2650" s="992"/>
      <c r="Q2650" s="992"/>
      <c r="R2650" s="992"/>
      <c r="S2650" s="993"/>
      <c r="T2650" s="16"/>
      <c r="U2650" s="991"/>
      <c r="V2650" s="991"/>
      <c r="W2650" s="16"/>
    </row>
    <row r="2651" spans="1:23" ht="30" customHeight="1" x14ac:dyDescent="0.35">
      <c r="A2651" s="186"/>
      <c r="B2651" s="567"/>
      <c r="C2651" s="567"/>
      <c r="D2651" s="567"/>
      <c r="E2651" s="194"/>
      <c r="F2651" s="1216"/>
      <c r="G2651" s="1268" t="s">
        <v>2875</v>
      </c>
      <c r="H2651" s="1268"/>
      <c r="I2651" s="1268"/>
      <c r="J2651" s="1268"/>
      <c r="K2651" s="196">
        <v>1.07</v>
      </c>
      <c r="L2651" s="186"/>
      <c r="M2651" s="50"/>
      <c r="N2651" s="50"/>
      <c r="O2651" s="472"/>
      <c r="P2651" s="992"/>
      <c r="Q2651" s="992"/>
      <c r="R2651" s="992"/>
      <c r="S2651" s="993"/>
      <c r="T2651" s="16"/>
    </row>
    <row r="2652" spans="1:23" ht="30" customHeight="1" x14ac:dyDescent="0.35">
      <c r="A2652" s="186"/>
      <c r="B2652" s="186"/>
      <c r="C2652" s="503"/>
      <c r="D2652" s="503"/>
      <c r="E2652" s="503"/>
      <c r="F2652" s="503"/>
      <c r="G2652" s="503"/>
      <c r="H2652" s="503"/>
      <c r="I2652" s="503"/>
      <c r="J2652" s="551" t="s">
        <v>37</v>
      </c>
      <c r="K2652" s="193">
        <f>+K2649*K2650/K2651</f>
        <v>128.136</v>
      </c>
      <c r="L2652" s="186" t="s">
        <v>108</v>
      </c>
      <c r="M2652" s="50"/>
      <c r="N2652" s="50"/>
      <c r="O2652" s="5"/>
      <c r="P2652" s="9"/>
      <c r="Q2652" s="34"/>
      <c r="R2652" s="5"/>
      <c r="S2652" s="35"/>
    </row>
    <row r="2653" spans="1:23" ht="30" customHeight="1" thickBot="1" x14ac:dyDescent="0.4">
      <c r="A2653" s="186"/>
      <c r="B2653" s="186"/>
      <c r="C2653" s="503"/>
      <c r="D2653" s="503"/>
      <c r="E2653" s="503"/>
      <c r="F2653" s="503"/>
      <c r="G2653" s="1194" t="s">
        <v>257</v>
      </c>
      <c r="H2653" s="1195"/>
      <c r="I2653" s="1196"/>
      <c r="J2653" s="560">
        <f>VLOOKUP(B2644,'Mil Cost Premiums for PUCs'!$A$4:$R$285,18,FALSE)</f>
        <v>1.1199953840399997</v>
      </c>
      <c r="K2653" s="193">
        <f>+K2652*J2653</f>
        <v>143.5117285293494</v>
      </c>
      <c r="L2653" s="186" t="s">
        <v>108</v>
      </c>
      <c r="M2653" s="50"/>
      <c r="N2653" s="50"/>
      <c r="O2653" s="5"/>
      <c r="P2653" s="9"/>
      <c r="Q2653" s="34"/>
      <c r="R2653" s="5"/>
      <c r="S2653" s="35"/>
    </row>
    <row r="2654" spans="1:23" ht="30" customHeight="1" thickBot="1" x14ac:dyDescent="0.4">
      <c r="A2654" s="1199"/>
      <c r="B2654" s="1200"/>
      <c r="C2654" s="1200"/>
      <c r="D2654" s="1200"/>
      <c r="E2654" s="1200"/>
      <c r="F2654" s="1200"/>
      <c r="G2654" s="1200"/>
      <c r="H2654" s="1200"/>
      <c r="I2654" s="1200"/>
      <c r="J2654" s="1200"/>
      <c r="K2654" s="1200"/>
      <c r="L2654" s="1201"/>
      <c r="M2654" s="50"/>
      <c r="N2654" s="50"/>
      <c r="O2654" s="5"/>
      <c r="P2654" s="9"/>
      <c r="Q2654" s="34"/>
      <c r="R2654" s="5"/>
      <c r="S2654" s="35"/>
    </row>
    <row r="2655" spans="1:23" ht="30" customHeight="1" x14ac:dyDescent="0.35">
      <c r="A2655" s="388" t="s">
        <v>1</v>
      </c>
      <c r="B2655" s="389">
        <v>5400</v>
      </c>
      <c r="C2655" s="1290" t="s">
        <v>1198</v>
      </c>
      <c r="D2655" s="1291"/>
      <c r="E2655" s="392" t="s">
        <v>3</v>
      </c>
      <c r="F2655" s="393" t="s">
        <v>108</v>
      </c>
      <c r="G2655" s="390" t="s">
        <v>38</v>
      </c>
      <c r="H2655" s="195">
        <v>11890</v>
      </c>
      <c r="I2655" s="392" t="s">
        <v>5</v>
      </c>
      <c r="J2655" s="1207" t="s">
        <v>1136</v>
      </c>
      <c r="K2655" s="1207"/>
      <c r="L2655" s="1208"/>
      <c r="M2655" s="50"/>
      <c r="N2655" s="50"/>
      <c r="O2655" s="5"/>
      <c r="P2655" s="9"/>
      <c r="Q2655" s="34"/>
      <c r="R2655" s="5"/>
      <c r="S2655" s="35"/>
    </row>
    <row r="2656" spans="1:23" ht="30" customHeight="1" x14ac:dyDescent="0.35">
      <c r="A2656" s="185" t="s">
        <v>177</v>
      </c>
      <c r="B2656" s="1272" t="s">
        <v>7</v>
      </c>
      <c r="C2656" s="1272"/>
      <c r="D2656" s="1272"/>
      <c r="E2656" s="492" t="s">
        <v>178</v>
      </c>
      <c r="F2656" s="397" t="s">
        <v>52</v>
      </c>
      <c r="G2656" s="185"/>
      <c r="H2656" s="185"/>
      <c r="I2656" s="1221" t="s">
        <v>179</v>
      </c>
      <c r="J2656" s="1222"/>
      <c r="K2656" s="1209" t="s">
        <v>180</v>
      </c>
      <c r="L2656" s="1210"/>
      <c r="M2656" s="50"/>
      <c r="N2656" s="50"/>
      <c r="O2656" s="5"/>
      <c r="P2656" s="9"/>
      <c r="Q2656" s="34"/>
      <c r="R2656" s="5"/>
      <c r="S2656" s="35"/>
    </row>
    <row r="2657" spans="1:26" ht="30" customHeight="1" x14ac:dyDescent="0.35">
      <c r="A2657" s="401" t="s">
        <v>181</v>
      </c>
      <c r="B2657" s="1265" t="s">
        <v>1199</v>
      </c>
      <c r="C2657" s="1265"/>
      <c r="D2657" s="1265"/>
      <c r="E2657" s="531">
        <v>17000</v>
      </c>
      <c r="F2657" s="187">
        <v>552</v>
      </c>
      <c r="G2657" s="532"/>
      <c r="H2657" s="533"/>
      <c r="I2657" s="1217">
        <f>'FY2024 MILCON Inflation Table'!F14</f>
        <v>1.4139446884504483</v>
      </c>
      <c r="J2657" s="1218"/>
      <c r="K2657" s="187">
        <f>+F2657*I2657</f>
        <v>780.49746802464745</v>
      </c>
      <c r="L2657" s="401" t="s">
        <v>108</v>
      </c>
      <c r="M2657" s="50"/>
      <c r="N2657" s="50"/>
      <c r="O2657" s="539"/>
      <c r="P2657" s="9"/>
      <c r="Q2657" s="34"/>
      <c r="R2657" s="5"/>
      <c r="S2657" s="35"/>
    </row>
    <row r="2658" spans="1:26" ht="30" customHeight="1" thickBot="1" x14ac:dyDescent="0.4">
      <c r="A2658" s="186"/>
      <c r="B2658" s="1264"/>
      <c r="C2658" s="1264"/>
      <c r="D2658" s="1264"/>
      <c r="E2658" s="535"/>
      <c r="F2658" s="536"/>
      <c r="G2658" s="536"/>
      <c r="H2658" s="537"/>
      <c r="I2658" s="503"/>
      <c r="J2658" s="494" t="s">
        <v>37</v>
      </c>
      <c r="K2658" s="193">
        <f>+K2657</f>
        <v>780.49746802464745</v>
      </c>
      <c r="L2658" s="186" t="s">
        <v>108</v>
      </c>
      <c r="M2658" s="50"/>
      <c r="N2658" s="50"/>
      <c r="O2658" s="539"/>
      <c r="P2658" s="9"/>
      <c r="Q2658" s="34"/>
      <c r="R2658" s="5"/>
      <c r="S2658" s="35"/>
      <c r="Z2658" s="396"/>
    </row>
    <row r="2659" spans="1:26" ht="30" customHeight="1" thickBot="1" x14ac:dyDescent="0.4">
      <c r="A2659" s="1199"/>
      <c r="B2659" s="1200"/>
      <c r="C2659" s="1200"/>
      <c r="D2659" s="1200"/>
      <c r="E2659" s="1200"/>
      <c r="F2659" s="1200"/>
      <c r="G2659" s="1200"/>
      <c r="H2659" s="1200"/>
      <c r="I2659" s="1200"/>
      <c r="J2659" s="1200"/>
      <c r="K2659" s="1200"/>
      <c r="L2659" s="1201"/>
      <c r="M2659" s="50"/>
      <c r="N2659" s="50"/>
      <c r="O2659" s="5"/>
      <c r="P2659" s="9"/>
      <c r="Q2659" s="34"/>
      <c r="R2659" s="5"/>
      <c r="S2659" s="35"/>
    </row>
    <row r="2660" spans="1:26" ht="30" customHeight="1" x14ac:dyDescent="0.35">
      <c r="A2660" s="388" t="s">
        <v>1</v>
      </c>
      <c r="B2660" s="389">
        <v>5500</v>
      </c>
      <c r="C2660" s="1290" t="s">
        <v>1200</v>
      </c>
      <c r="D2660" s="1291"/>
      <c r="E2660" s="392" t="s">
        <v>3</v>
      </c>
      <c r="F2660" s="393" t="s">
        <v>108</v>
      </c>
      <c r="G2660" s="390" t="s">
        <v>38</v>
      </c>
      <c r="H2660" s="195">
        <v>25144.511089887601</v>
      </c>
      <c r="I2660" s="392" t="s">
        <v>5</v>
      </c>
      <c r="J2660" s="1207" t="s">
        <v>2861</v>
      </c>
      <c r="K2660" s="1207"/>
      <c r="L2660" s="1208"/>
      <c r="M2660" s="50"/>
      <c r="N2660" s="50"/>
      <c r="O2660" s="539"/>
      <c r="P2660" s="9"/>
      <c r="Q2660" s="34"/>
      <c r="R2660" s="5"/>
      <c r="S2660" s="35"/>
    </row>
    <row r="2661" spans="1:26" s="396" customFormat="1" ht="30" customHeight="1" x14ac:dyDescent="0.35">
      <c r="A2661" s="185" t="s">
        <v>177</v>
      </c>
      <c r="B2661" s="1272" t="s">
        <v>7</v>
      </c>
      <c r="C2661" s="1272"/>
      <c r="D2661" s="1272"/>
      <c r="E2661" s="492" t="s">
        <v>178</v>
      </c>
      <c r="F2661" s="397" t="s">
        <v>52</v>
      </c>
      <c r="G2661" s="185"/>
      <c r="H2661" s="185"/>
      <c r="I2661" s="1223" t="s">
        <v>56</v>
      </c>
      <c r="J2661" s="1224"/>
      <c r="K2661" s="1209" t="s">
        <v>180</v>
      </c>
      <c r="L2661" s="1210"/>
      <c r="M2661" s="50"/>
      <c r="N2661" s="50"/>
      <c r="O2661" s="539"/>
      <c r="P2661" s="9"/>
      <c r="Q2661" s="34"/>
      <c r="R2661" s="5"/>
      <c r="S2661" s="35"/>
      <c r="T2661" s="9"/>
      <c r="U2661" s="9"/>
      <c r="V2661" s="9"/>
      <c r="W2661" s="9"/>
      <c r="Z2661" s="9"/>
    </row>
    <row r="2662" spans="1:26" ht="30" customHeight="1" x14ac:dyDescent="0.35">
      <c r="A2662" s="401" t="s">
        <v>181</v>
      </c>
      <c r="B2662" s="1265" t="s">
        <v>1201</v>
      </c>
      <c r="C2662" s="1265"/>
      <c r="D2662" s="1265"/>
      <c r="E2662" s="531">
        <v>13000</v>
      </c>
      <c r="F2662" s="187">
        <v>868</v>
      </c>
      <c r="G2662" s="532"/>
      <c r="H2662" s="533"/>
      <c r="I2662" s="1217" t="s">
        <v>2860</v>
      </c>
      <c r="J2662" s="1218"/>
      <c r="K2662" s="187">
        <f>+F2662</f>
        <v>868</v>
      </c>
      <c r="L2662" s="401" t="s">
        <v>108</v>
      </c>
      <c r="M2662" s="50"/>
      <c r="N2662" s="50"/>
      <c r="O2662" s="5"/>
      <c r="P2662" s="9"/>
      <c r="Q2662" s="34"/>
      <c r="R2662" s="5"/>
      <c r="S2662" s="35"/>
      <c r="Z2662" s="396"/>
    </row>
    <row r="2663" spans="1:26" ht="30" customHeight="1" thickBot="1" x14ac:dyDescent="0.4">
      <c r="A2663" s="186"/>
      <c r="B2663" s="1264"/>
      <c r="C2663" s="1264"/>
      <c r="D2663" s="1264"/>
      <c r="E2663" s="535"/>
      <c r="F2663" s="536"/>
      <c r="G2663" s="536"/>
      <c r="H2663" s="537"/>
      <c r="I2663" s="503"/>
      <c r="J2663" s="494" t="s">
        <v>37</v>
      </c>
      <c r="K2663" s="193">
        <f>+K2662</f>
        <v>868</v>
      </c>
      <c r="L2663" s="186" t="s">
        <v>108</v>
      </c>
      <c r="M2663" s="50"/>
      <c r="N2663" s="50"/>
      <c r="O2663" s="5"/>
      <c r="P2663" s="9"/>
      <c r="Q2663" s="34"/>
      <c r="R2663" s="5"/>
      <c r="S2663" s="35"/>
    </row>
    <row r="2664" spans="1:26" ht="30" customHeight="1" thickBot="1" x14ac:dyDescent="0.4">
      <c r="A2664" s="385"/>
      <c r="B2664" s="386"/>
      <c r="C2664" s="386"/>
      <c r="D2664" s="386"/>
      <c r="E2664" s="386"/>
      <c r="F2664" s="386"/>
      <c r="G2664" s="386"/>
      <c r="H2664" s="386"/>
      <c r="I2664" s="386"/>
      <c r="J2664" s="386"/>
      <c r="K2664" s="386"/>
      <c r="L2664" s="387"/>
      <c r="M2664" s="50"/>
      <c r="N2664" s="50"/>
      <c r="O2664" s="5"/>
      <c r="P2664" s="9"/>
      <c r="Q2664" s="34"/>
      <c r="R2664" s="5"/>
      <c r="S2664" s="35"/>
    </row>
    <row r="2665" spans="1:26" ht="30" customHeight="1" x14ac:dyDescent="0.35">
      <c r="A2665" s="388" t="s">
        <v>1</v>
      </c>
      <c r="B2665" s="389">
        <v>5501</v>
      </c>
      <c r="C2665" s="1290" t="s">
        <v>1202</v>
      </c>
      <c r="D2665" s="1291"/>
      <c r="E2665" s="392" t="s">
        <v>3</v>
      </c>
      <c r="F2665" s="393" t="s">
        <v>108</v>
      </c>
      <c r="G2665" s="390" t="s">
        <v>38</v>
      </c>
      <c r="H2665" s="195">
        <v>102518</v>
      </c>
      <c r="I2665" s="392" t="s">
        <v>5</v>
      </c>
      <c r="J2665" s="1207" t="s">
        <v>1203</v>
      </c>
      <c r="K2665" s="1207"/>
      <c r="L2665" s="1208"/>
      <c r="M2665" s="50"/>
      <c r="N2665" s="50"/>
      <c r="O2665" s="5"/>
      <c r="P2665" s="9"/>
      <c r="Q2665" s="34"/>
      <c r="R2665" s="5"/>
      <c r="S2665" s="35"/>
    </row>
    <row r="2666" spans="1:26" s="396" customFormat="1" ht="30" customHeight="1" x14ac:dyDescent="0.35">
      <c r="A2666" s="185" t="s">
        <v>177</v>
      </c>
      <c r="B2666" s="1272" t="s">
        <v>7</v>
      </c>
      <c r="C2666" s="1272"/>
      <c r="D2666" s="1272"/>
      <c r="E2666" s="492" t="s">
        <v>178</v>
      </c>
      <c r="F2666" s="397" t="s">
        <v>52</v>
      </c>
      <c r="G2666" s="185"/>
      <c r="H2666" s="185"/>
      <c r="I2666" s="1221" t="s">
        <v>179</v>
      </c>
      <c r="J2666" s="1222"/>
      <c r="K2666" s="1209" t="s">
        <v>180</v>
      </c>
      <c r="L2666" s="1210"/>
      <c r="M2666" s="50"/>
      <c r="N2666" s="50"/>
      <c r="O2666" s="384"/>
      <c r="P2666" s="9"/>
      <c r="Q2666" s="34"/>
      <c r="R2666" s="5"/>
      <c r="S2666" s="35"/>
      <c r="T2666" s="9"/>
      <c r="U2666" s="9"/>
      <c r="V2666" s="9"/>
      <c r="W2666" s="9"/>
      <c r="X2666" s="9"/>
      <c r="Y2666" s="9"/>
      <c r="Z2666" s="9"/>
    </row>
    <row r="2667" spans="1:26" ht="30" customHeight="1" x14ac:dyDescent="0.35">
      <c r="A2667" s="401" t="s">
        <v>181</v>
      </c>
      <c r="B2667" s="1265" t="s">
        <v>1204</v>
      </c>
      <c r="C2667" s="1265"/>
      <c r="D2667" s="1265"/>
      <c r="E2667" s="531">
        <v>120000</v>
      </c>
      <c r="F2667" s="187">
        <v>360</v>
      </c>
      <c r="G2667" s="532"/>
      <c r="H2667" s="533"/>
      <c r="I2667" s="1217">
        <f>'FY2024 MILCON Inflation Table'!F16</f>
        <v>1.2817196193982925</v>
      </c>
      <c r="J2667" s="1218"/>
      <c r="K2667" s="187">
        <f>+F2667*I2667</f>
        <v>461.41906298338529</v>
      </c>
      <c r="L2667" s="401" t="s">
        <v>108</v>
      </c>
      <c r="M2667" s="50"/>
      <c r="N2667" s="50"/>
      <c r="X2667" s="396"/>
      <c r="Y2667" s="396"/>
    </row>
    <row r="2668" spans="1:26" ht="30" customHeight="1" thickBot="1" x14ac:dyDescent="0.4">
      <c r="A2668" s="186"/>
      <c r="B2668" s="1264"/>
      <c r="C2668" s="1264"/>
      <c r="D2668" s="1264"/>
      <c r="E2668" s="535"/>
      <c r="F2668" s="536"/>
      <c r="G2668" s="536"/>
      <c r="H2668" s="537"/>
      <c r="I2668" s="503"/>
      <c r="J2668" s="494" t="s">
        <v>37</v>
      </c>
      <c r="K2668" s="193">
        <f>+K2667</f>
        <v>461.41906298338529</v>
      </c>
      <c r="L2668" s="186" t="s">
        <v>108</v>
      </c>
      <c r="M2668" s="50"/>
      <c r="N2668" s="50"/>
      <c r="O2668" s="384"/>
      <c r="P2668" s="9"/>
      <c r="Q2668" s="34"/>
      <c r="R2668" s="5"/>
      <c r="S2668" s="35"/>
      <c r="Z2668" s="396"/>
    </row>
    <row r="2669" spans="1:26" ht="30" customHeight="1" thickBot="1" x14ac:dyDescent="0.4">
      <c r="A2669" s="1199"/>
      <c r="B2669" s="1200"/>
      <c r="C2669" s="1200"/>
      <c r="D2669" s="1200"/>
      <c r="E2669" s="1200"/>
      <c r="F2669" s="1200"/>
      <c r="G2669" s="1200"/>
      <c r="H2669" s="1200"/>
      <c r="I2669" s="1200"/>
      <c r="J2669" s="1200"/>
      <c r="K2669" s="1200"/>
      <c r="L2669" s="1201"/>
      <c r="M2669" s="50"/>
      <c r="N2669" s="50"/>
      <c r="O2669" s="5"/>
      <c r="P2669" s="9"/>
      <c r="Q2669" s="34"/>
      <c r="R2669" s="5"/>
      <c r="S2669" s="35"/>
    </row>
    <row r="2670" spans="1:26" ht="30" customHeight="1" x14ac:dyDescent="0.35">
      <c r="A2670" s="388" t="s">
        <v>1</v>
      </c>
      <c r="B2670" s="389">
        <v>6100</v>
      </c>
      <c r="C2670" s="1290" t="s">
        <v>1205</v>
      </c>
      <c r="D2670" s="1291"/>
      <c r="E2670" s="392" t="s">
        <v>3</v>
      </c>
      <c r="F2670" s="393" t="s">
        <v>108</v>
      </c>
      <c r="G2670" s="390" t="s">
        <v>38</v>
      </c>
      <c r="H2670" s="195">
        <v>14452.987105513699</v>
      </c>
      <c r="I2670" s="392" t="s">
        <v>5</v>
      </c>
      <c r="J2670" s="1207" t="s">
        <v>2861</v>
      </c>
      <c r="K2670" s="1207"/>
      <c r="L2670" s="1208"/>
      <c r="M2670" s="50"/>
      <c r="N2670" s="50"/>
      <c r="O2670" s="5"/>
      <c r="P2670" s="9"/>
      <c r="Q2670" s="34"/>
      <c r="R2670" s="5"/>
      <c r="S2670" s="35"/>
    </row>
    <row r="2671" spans="1:26" s="396" customFormat="1" ht="30" customHeight="1" x14ac:dyDescent="0.35">
      <c r="A2671" s="185" t="s">
        <v>177</v>
      </c>
      <c r="B2671" s="1272" t="s">
        <v>7</v>
      </c>
      <c r="C2671" s="1272"/>
      <c r="D2671" s="1272"/>
      <c r="E2671" s="492" t="s">
        <v>178</v>
      </c>
      <c r="F2671" s="397" t="s">
        <v>52</v>
      </c>
      <c r="G2671" s="185"/>
      <c r="H2671" s="185"/>
      <c r="I2671" s="1223" t="s">
        <v>56</v>
      </c>
      <c r="J2671" s="1224"/>
      <c r="K2671" s="1209" t="s">
        <v>180</v>
      </c>
      <c r="L2671" s="1210"/>
      <c r="M2671" s="50"/>
      <c r="N2671" s="50"/>
      <c r="O2671" s="5"/>
      <c r="P2671" s="9"/>
      <c r="Q2671" s="34"/>
      <c r="R2671" s="5"/>
      <c r="S2671" s="35"/>
      <c r="T2671" s="9"/>
      <c r="U2671" s="9"/>
      <c r="V2671" s="9"/>
      <c r="W2671" s="9"/>
      <c r="X2671" s="9"/>
      <c r="Y2671" s="9"/>
      <c r="Z2671" s="9"/>
    </row>
    <row r="2672" spans="1:26" ht="30" customHeight="1" x14ac:dyDescent="0.35">
      <c r="A2672" s="401" t="s">
        <v>181</v>
      </c>
      <c r="B2672" s="1265" t="s">
        <v>1206</v>
      </c>
      <c r="C2672" s="1265"/>
      <c r="D2672" s="1265"/>
      <c r="E2672" s="531">
        <v>30000</v>
      </c>
      <c r="F2672" s="187">
        <v>587</v>
      </c>
      <c r="G2672" s="532"/>
      <c r="H2672" s="533"/>
      <c r="I2672" s="1217" t="s">
        <v>2860</v>
      </c>
      <c r="J2672" s="1218"/>
      <c r="K2672" s="187">
        <f>+F2672</f>
        <v>587</v>
      </c>
      <c r="L2672" s="401" t="s">
        <v>108</v>
      </c>
      <c r="M2672" s="50"/>
      <c r="N2672" s="50"/>
      <c r="O2672" s="384"/>
      <c r="P2672" s="9"/>
      <c r="Q2672" s="34"/>
      <c r="R2672" s="5"/>
      <c r="S2672" s="35"/>
      <c r="X2672" s="396"/>
      <c r="Y2672" s="396"/>
    </row>
    <row r="2673" spans="1:26" ht="30" customHeight="1" thickBot="1" x14ac:dyDescent="0.4">
      <c r="A2673" s="186"/>
      <c r="B2673" s="1264"/>
      <c r="C2673" s="1264"/>
      <c r="D2673" s="1264"/>
      <c r="E2673" s="535"/>
      <c r="F2673" s="536"/>
      <c r="G2673" s="536"/>
      <c r="H2673" s="537"/>
      <c r="I2673" s="503"/>
      <c r="J2673" s="494" t="s">
        <v>37</v>
      </c>
      <c r="K2673" s="193">
        <f>+K2672</f>
        <v>587</v>
      </c>
      <c r="L2673" s="186" t="s">
        <v>108</v>
      </c>
      <c r="M2673" s="96"/>
      <c r="N2673" s="50"/>
      <c r="O2673" s="5"/>
      <c r="P2673" s="9"/>
      <c r="Q2673" s="34"/>
      <c r="R2673" s="5"/>
      <c r="S2673" s="35"/>
      <c r="Z2673" s="396"/>
    </row>
    <row r="2674" spans="1:26" ht="30" customHeight="1" thickBot="1" x14ac:dyDescent="0.4">
      <c r="A2674" s="1199"/>
      <c r="B2674" s="1200"/>
      <c r="C2674" s="1200"/>
      <c r="D2674" s="1200"/>
      <c r="E2674" s="1200"/>
      <c r="F2674" s="1200"/>
      <c r="G2674" s="1200"/>
      <c r="H2674" s="1200"/>
      <c r="I2674" s="1200"/>
      <c r="J2674" s="1200"/>
      <c r="K2674" s="1200"/>
      <c r="L2674" s="1201"/>
      <c r="M2674" s="50"/>
      <c r="N2674" s="50"/>
      <c r="O2674" s="5"/>
      <c r="P2674" s="9"/>
      <c r="Q2674" s="34"/>
      <c r="R2674" s="5"/>
      <c r="S2674" s="35"/>
    </row>
    <row r="2675" spans="1:26" ht="30" customHeight="1" x14ac:dyDescent="0.35">
      <c r="A2675" s="388" t="s">
        <v>1</v>
      </c>
      <c r="B2675" s="389">
        <v>6101</v>
      </c>
      <c r="C2675" s="1290" t="s">
        <v>1207</v>
      </c>
      <c r="D2675" s="1291"/>
      <c r="E2675" s="392" t="s">
        <v>3</v>
      </c>
      <c r="F2675" s="393" t="s">
        <v>108</v>
      </c>
      <c r="G2675" s="390" t="s">
        <v>38</v>
      </c>
      <c r="H2675" s="135">
        <v>13363.0961063909</v>
      </c>
      <c r="I2675" s="392" t="s">
        <v>5</v>
      </c>
      <c r="J2675" s="1207" t="s">
        <v>2861</v>
      </c>
      <c r="K2675" s="1207"/>
      <c r="L2675" s="1208"/>
      <c r="M2675" s="50"/>
      <c r="N2675" s="50"/>
      <c r="O2675" s="384"/>
      <c r="P2675" s="9"/>
      <c r="Q2675" s="34"/>
      <c r="R2675" s="5"/>
      <c r="S2675" s="35"/>
    </row>
    <row r="2676" spans="1:26" s="396" customFormat="1" ht="30" customHeight="1" x14ac:dyDescent="0.35">
      <c r="A2676" s="185" t="s">
        <v>177</v>
      </c>
      <c r="B2676" s="1272" t="s">
        <v>7</v>
      </c>
      <c r="C2676" s="1272"/>
      <c r="D2676" s="1272"/>
      <c r="E2676" s="492" t="s">
        <v>178</v>
      </c>
      <c r="F2676" s="397" t="s">
        <v>52</v>
      </c>
      <c r="G2676" s="185"/>
      <c r="H2676" s="185"/>
      <c r="I2676" s="1223" t="s">
        <v>56</v>
      </c>
      <c r="J2676" s="1224"/>
      <c r="K2676" s="1209" t="s">
        <v>180</v>
      </c>
      <c r="L2676" s="1210"/>
      <c r="M2676" s="50"/>
      <c r="N2676" s="50"/>
      <c r="O2676" s="384"/>
      <c r="P2676" s="9"/>
      <c r="Q2676" s="34"/>
      <c r="R2676" s="5"/>
      <c r="S2676" s="35"/>
      <c r="T2676" s="9"/>
      <c r="U2676" s="9"/>
      <c r="V2676" s="9"/>
      <c r="W2676" s="9"/>
      <c r="X2676" s="9"/>
      <c r="Y2676" s="9"/>
      <c r="Z2676" s="9"/>
    </row>
    <row r="2677" spans="1:26" ht="30" customHeight="1" x14ac:dyDescent="0.35">
      <c r="A2677" s="401" t="s">
        <v>181</v>
      </c>
      <c r="B2677" s="1265" t="s">
        <v>1208</v>
      </c>
      <c r="C2677" s="1265"/>
      <c r="D2677" s="1265"/>
      <c r="E2677" s="531">
        <v>43000</v>
      </c>
      <c r="F2677" s="187">
        <v>599</v>
      </c>
      <c r="G2677" s="532"/>
      <c r="H2677" s="533"/>
      <c r="I2677" s="1217" t="s">
        <v>2860</v>
      </c>
      <c r="J2677" s="1218"/>
      <c r="K2677" s="187">
        <f>+F2677</f>
        <v>599</v>
      </c>
      <c r="L2677" s="401" t="s">
        <v>108</v>
      </c>
      <c r="M2677" s="50"/>
      <c r="N2677" s="50"/>
      <c r="O2677" s="5"/>
      <c r="P2677" s="9"/>
      <c r="Q2677" s="34"/>
      <c r="R2677" s="5"/>
      <c r="S2677" s="35"/>
    </row>
    <row r="2678" spans="1:26" ht="30" customHeight="1" thickBot="1" x14ac:dyDescent="0.4">
      <c r="A2678" s="186"/>
      <c r="B2678" s="1264"/>
      <c r="C2678" s="1264"/>
      <c r="D2678" s="1264"/>
      <c r="E2678" s="535"/>
      <c r="F2678" s="536"/>
      <c r="G2678" s="536"/>
      <c r="H2678" s="537"/>
      <c r="I2678" s="503"/>
      <c r="J2678" s="494" t="s">
        <v>37</v>
      </c>
      <c r="K2678" s="193">
        <f>+K2677</f>
        <v>599</v>
      </c>
      <c r="L2678" s="186" t="s">
        <v>108</v>
      </c>
      <c r="M2678" s="50"/>
      <c r="N2678" s="50"/>
      <c r="O2678" s="5"/>
      <c r="P2678" s="9"/>
      <c r="Q2678" s="34"/>
      <c r="R2678" s="5"/>
      <c r="S2678" s="35"/>
    </row>
    <row r="2679" spans="1:26" ht="30" customHeight="1" thickBot="1" x14ac:dyDescent="0.4">
      <c r="A2679" s="1199"/>
      <c r="B2679" s="1200"/>
      <c r="C2679" s="1200"/>
      <c r="D2679" s="1200"/>
      <c r="E2679" s="1200"/>
      <c r="F2679" s="1200"/>
      <c r="G2679" s="1200"/>
      <c r="H2679" s="1200"/>
      <c r="I2679" s="1200"/>
      <c r="J2679" s="1200"/>
      <c r="K2679" s="1200"/>
      <c r="L2679" s="1201"/>
      <c r="M2679" s="50"/>
      <c r="N2679" s="50"/>
      <c r="O2679" s="539"/>
      <c r="P2679" s="9"/>
      <c r="Q2679" s="34"/>
      <c r="R2679" s="5"/>
      <c r="S2679" s="35"/>
    </row>
    <row r="2680" spans="1:26" ht="30" customHeight="1" x14ac:dyDescent="0.35">
      <c r="A2680" s="388" t="s">
        <v>1</v>
      </c>
      <c r="B2680" s="389">
        <v>6102</v>
      </c>
      <c r="C2680" s="1290" t="s">
        <v>1209</v>
      </c>
      <c r="D2680" s="1291"/>
      <c r="E2680" s="392" t="s">
        <v>3</v>
      </c>
      <c r="F2680" s="393" t="s">
        <v>108</v>
      </c>
      <c r="G2680" s="390" t="s">
        <v>38</v>
      </c>
      <c r="H2680" s="135">
        <v>14496.0025772223</v>
      </c>
      <c r="I2680" s="392" t="s">
        <v>5</v>
      </c>
      <c r="J2680" s="1207" t="s">
        <v>2861</v>
      </c>
      <c r="K2680" s="1207"/>
      <c r="L2680" s="1208"/>
      <c r="M2680" s="50"/>
      <c r="N2680" s="50"/>
    </row>
    <row r="2681" spans="1:26" ht="30" customHeight="1" x14ac:dyDescent="0.35">
      <c r="A2681" s="185" t="s">
        <v>177</v>
      </c>
      <c r="B2681" s="1272" t="s">
        <v>7</v>
      </c>
      <c r="C2681" s="1272"/>
      <c r="D2681" s="1272"/>
      <c r="E2681" s="492" t="s">
        <v>178</v>
      </c>
      <c r="F2681" s="397" t="s">
        <v>52</v>
      </c>
      <c r="G2681" s="185"/>
      <c r="H2681" s="185"/>
      <c r="I2681" s="1223" t="s">
        <v>56</v>
      </c>
      <c r="J2681" s="1224"/>
      <c r="K2681" s="1209" t="s">
        <v>180</v>
      </c>
      <c r="L2681" s="1210"/>
      <c r="M2681" s="50"/>
      <c r="N2681" s="50"/>
      <c r="O2681" s="539"/>
      <c r="P2681" s="9"/>
      <c r="Q2681" s="34"/>
      <c r="R2681" s="5"/>
      <c r="S2681" s="35"/>
    </row>
    <row r="2682" spans="1:26" ht="30" customHeight="1" x14ac:dyDescent="0.35">
      <c r="A2682" s="401" t="s">
        <v>181</v>
      </c>
      <c r="B2682" s="1265" t="s">
        <v>2870</v>
      </c>
      <c r="C2682" s="1265"/>
      <c r="D2682" s="1265"/>
      <c r="E2682" s="531">
        <v>69000</v>
      </c>
      <c r="F2682" s="187">
        <v>455</v>
      </c>
      <c r="G2682" s="532"/>
      <c r="H2682" s="533"/>
      <c r="I2682" s="1217" t="s">
        <v>2860</v>
      </c>
      <c r="J2682" s="1218"/>
      <c r="K2682" s="187">
        <f>+F2682</f>
        <v>455</v>
      </c>
      <c r="L2682" s="401" t="s">
        <v>108</v>
      </c>
      <c r="M2682" s="50"/>
      <c r="N2682" s="50"/>
      <c r="P2682" s="9"/>
      <c r="Q2682" s="34"/>
      <c r="R2682" s="5"/>
      <c r="S2682" s="35"/>
    </row>
    <row r="2683" spans="1:26" ht="30" customHeight="1" thickBot="1" x14ac:dyDescent="0.4">
      <c r="A2683" s="186"/>
      <c r="B2683" s="1264"/>
      <c r="C2683" s="1264"/>
      <c r="D2683" s="1264"/>
      <c r="E2683" s="535"/>
      <c r="F2683" s="536"/>
      <c r="G2683" s="536"/>
      <c r="H2683" s="537"/>
      <c r="I2683" s="503"/>
      <c r="J2683" s="494" t="s">
        <v>37</v>
      </c>
      <c r="K2683" s="193">
        <f>+K2682</f>
        <v>455</v>
      </c>
      <c r="L2683" s="186" t="s">
        <v>108</v>
      </c>
      <c r="M2683" s="96"/>
      <c r="N2683" s="50"/>
      <c r="P2683" s="9"/>
      <c r="Q2683" s="34"/>
      <c r="R2683" s="5"/>
      <c r="S2683" s="35"/>
    </row>
    <row r="2684" spans="1:26" ht="30" customHeight="1" thickBot="1" x14ac:dyDescent="0.4">
      <c r="A2684" s="1199"/>
      <c r="B2684" s="1200"/>
      <c r="C2684" s="1200"/>
      <c r="D2684" s="1200"/>
      <c r="E2684" s="1200"/>
      <c r="F2684" s="1200"/>
      <c r="G2684" s="1200"/>
      <c r="H2684" s="1200"/>
      <c r="I2684" s="1200"/>
      <c r="J2684" s="1200"/>
      <c r="K2684" s="1200"/>
      <c r="L2684" s="1201"/>
      <c r="M2684" s="50"/>
      <c r="N2684" s="50"/>
      <c r="O2684" s="5"/>
      <c r="P2684" s="9"/>
      <c r="Q2684" s="34"/>
      <c r="R2684" s="5"/>
      <c r="S2684" s="35"/>
    </row>
    <row r="2685" spans="1:26" ht="30" customHeight="1" x14ac:dyDescent="0.35">
      <c r="A2685" s="388" t="s">
        <v>1</v>
      </c>
      <c r="B2685" s="389">
        <v>6103</v>
      </c>
      <c r="C2685" s="1205" t="s">
        <v>1210</v>
      </c>
      <c r="D2685" s="1206"/>
      <c r="E2685" s="392" t="s">
        <v>3</v>
      </c>
      <c r="F2685" s="562" t="s">
        <v>108</v>
      </c>
      <c r="G2685" s="390" t="s">
        <v>38</v>
      </c>
      <c r="H2685" s="886">
        <v>6927</v>
      </c>
      <c r="I2685" s="392" t="s">
        <v>5</v>
      </c>
      <c r="J2685" s="1207" t="s">
        <v>186</v>
      </c>
      <c r="K2685" s="1207"/>
      <c r="L2685" s="1208"/>
      <c r="M2685" s="50"/>
      <c r="N2685" s="50"/>
      <c r="O2685" s="5"/>
      <c r="P2685" s="9"/>
      <c r="Q2685" s="34"/>
      <c r="R2685" s="5"/>
      <c r="S2685" s="35"/>
      <c r="U2685" s="10"/>
    </row>
    <row r="2686" spans="1:26" ht="30" customHeight="1" x14ac:dyDescent="0.35">
      <c r="A2686" s="494" t="s">
        <v>187</v>
      </c>
      <c r="B2686" s="1280" t="s">
        <v>211</v>
      </c>
      <c r="C2686" s="1281"/>
      <c r="D2686" s="1282"/>
      <c r="E2686" s="566" t="s">
        <v>52</v>
      </c>
      <c r="F2686" s="566" t="s">
        <v>53</v>
      </c>
      <c r="G2686" s="1219" t="s">
        <v>54</v>
      </c>
      <c r="H2686" s="1220"/>
      <c r="I2686" s="185" t="s">
        <v>188</v>
      </c>
      <c r="J2686" s="185"/>
      <c r="K2686" s="1209" t="s">
        <v>180</v>
      </c>
      <c r="L2686" s="1210"/>
      <c r="M2686" s="50"/>
      <c r="N2686" s="50"/>
      <c r="O2686" s="384"/>
      <c r="P2686" s="9"/>
      <c r="Q2686" s="34"/>
      <c r="R2686" s="5"/>
      <c r="S2686" s="35"/>
      <c r="U2686" s="10"/>
    </row>
    <row r="2687" spans="1:26" ht="30" customHeight="1" x14ac:dyDescent="0.35">
      <c r="A2687" s="985" t="s">
        <v>826</v>
      </c>
      <c r="B2687" s="1202" t="s">
        <v>1211</v>
      </c>
      <c r="C2687" s="1203"/>
      <c r="D2687" s="1204"/>
      <c r="E2687" s="194">
        <v>80</v>
      </c>
      <c r="F2687" s="186" t="s">
        <v>108</v>
      </c>
      <c r="G2687" s="186"/>
      <c r="H2687" s="186"/>
      <c r="I2687" s="186">
        <v>1.19</v>
      </c>
      <c r="J2687" s="204"/>
      <c r="K2687" s="194">
        <f>+E2687*I2687</f>
        <v>95.199999999999989</v>
      </c>
      <c r="L2687" s="186" t="s">
        <v>108</v>
      </c>
      <c r="M2687" s="50"/>
      <c r="N2687" s="50"/>
      <c r="O2687" s="384"/>
      <c r="P2687" s="9"/>
      <c r="Q2687" s="34"/>
      <c r="R2687" s="5"/>
      <c r="S2687" s="35"/>
      <c r="U2687" s="10"/>
    </row>
    <row r="2688" spans="1:26" ht="30" customHeight="1" x14ac:dyDescent="0.35">
      <c r="A2688" s="985" t="s">
        <v>249</v>
      </c>
      <c r="B2688" s="1264" t="s">
        <v>1060</v>
      </c>
      <c r="C2688" s="1264"/>
      <c r="D2688" s="1264"/>
      <c r="E2688" s="193">
        <v>3.34</v>
      </c>
      <c r="F2688" s="186" t="s">
        <v>108</v>
      </c>
      <c r="G2688" s="503"/>
      <c r="H2688" s="534"/>
      <c r="I2688" s="186">
        <v>1.19</v>
      </c>
      <c r="J2688" s="204"/>
      <c r="K2688" s="194">
        <f>+E2688*I2688</f>
        <v>3.9745999999999997</v>
      </c>
      <c r="L2688" s="186" t="s">
        <v>108</v>
      </c>
      <c r="M2688" s="50"/>
      <c r="N2688" s="50"/>
      <c r="O2688" s="5"/>
      <c r="T2688" s="10"/>
    </row>
    <row r="2689" spans="1:26" ht="30" customHeight="1" x14ac:dyDescent="0.35">
      <c r="A2689" s="186"/>
      <c r="B2689" s="1264"/>
      <c r="C2689" s="1264"/>
      <c r="D2689" s="1264"/>
      <c r="E2689" s="194"/>
      <c r="F2689" s="186"/>
      <c r="G2689" s="503"/>
      <c r="H2689" s="534"/>
      <c r="I2689" s="186"/>
      <c r="J2689" s="186" t="s">
        <v>223</v>
      </c>
      <c r="K2689" s="194">
        <f>SUM(K2687:K2688)</f>
        <v>99.174599999999984</v>
      </c>
      <c r="L2689" s="186" t="s">
        <v>108</v>
      </c>
      <c r="N2689" s="50"/>
      <c r="O2689" s="5"/>
      <c r="T2689" s="10"/>
    </row>
    <row r="2690" spans="1:26" ht="30" customHeight="1" x14ac:dyDescent="0.35">
      <c r="A2690" s="186"/>
      <c r="B2690" s="567"/>
      <c r="C2690" s="567"/>
      <c r="D2690" s="567"/>
      <c r="E2690" s="194"/>
      <c r="F2690" s="1215" t="s">
        <v>195</v>
      </c>
      <c r="G2690" s="1273" t="s">
        <v>196</v>
      </c>
      <c r="H2690" s="1273"/>
      <c r="I2690" s="1273"/>
      <c r="J2690" s="1273"/>
      <c r="K2690" s="204">
        <v>1.08</v>
      </c>
      <c r="L2690" s="186"/>
      <c r="M2690" s="50"/>
      <c r="N2690" s="50"/>
      <c r="O2690" s="396"/>
      <c r="P2690" s="384"/>
      <c r="Q2690" s="396"/>
      <c r="R2690" s="396"/>
      <c r="S2690" s="396"/>
      <c r="T2690" s="396"/>
      <c r="U2690" s="10"/>
    </row>
    <row r="2691" spans="1:26" ht="30" customHeight="1" x14ac:dyDescent="0.35">
      <c r="A2691" s="186"/>
      <c r="B2691" s="567"/>
      <c r="C2691" s="567"/>
      <c r="D2691" s="567"/>
      <c r="E2691" s="194"/>
      <c r="F2691" s="1216"/>
      <c r="G2691" s="1268" t="s">
        <v>197</v>
      </c>
      <c r="H2691" s="1268"/>
      <c r="I2691" s="1268"/>
      <c r="J2691" s="1268"/>
      <c r="K2691" s="196">
        <v>1.06</v>
      </c>
      <c r="L2691" s="186"/>
      <c r="M2691" s="50"/>
      <c r="N2691" s="50"/>
      <c r="U2691" s="396"/>
      <c r="V2691" s="396"/>
      <c r="W2691" s="396"/>
    </row>
    <row r="2692" spans="1:26" ht="30" customHeight="1" x14ac:dyDescent="0.35">
      <c r="A2692" s="186"/>
      <c r="B2692" s="186"/>
      <c r="C2692" s="503"/>
      <c r="D2692" s="503"/>
      <c r="E2692" s="503"/>
      <c r="F2692" s="503"/>
      <c r="G2692" s="503"/>
      <c r="H2692" s="503"/>
      <c r="I2692" s="503"/>
      <c r="J2692" s="186" t="s">
        <v>37</v>
      </c>
      <c r="K2692" s="193">
        <f>+K2689*K2690/K2691</f>
        <v>101.04581886792451</v>
      </c>
      <c r="L2692" s="186" t="s">
        <v>108</v>
      </c>
      <c r="M2692" s="50"/>
      <c r="N2692" s="50"/>
      <c r="O2692" s="5"/>
    </row>
    <row r="2693" spans="1:26" ht="30" customHeight="1" x14ac:dyDescent="0.35">
      <c r="A2693" s="186"/>
      <c r="B2693" s="186"/>
      <c r="C2693" s="503"/>
      <c r="D2693" s="503"/>
      <c r="E2693" s="503"/>
      <c r="F2693" s="503"/>
      <c r="G2693" s="1374" t="s">
        <v>257</v>
      </c>
      <c r="H2693" s="1375"/>
      <c r="I2693" s="1376"/>
      <c r="J2693" s="560">
        <f>VLOOKUP(B2685,'Mil Cost Premiums for PUCs'!$A$4:$R$285,18,FALSE)</f>
        <v>1.1861082984327833</v>
      </c>
      <c r="K2693" s="193">
        <f>+K2692*J2693</f>
        <v>119.85128428118117</v>
      </c>
      <c r="L2693" s="186" t="s">
        <v>108</v>
      </c>
      <c r="M2693" s="50"/>
      <c r="N2693" s="50"/>
    </row>
    <row r="2694" spans="1:26" ht="30" customHeight="1" x14ac:dyDescent="0.35">
      <c r="A2694" s="569"/>
      <c r="B2694" s="569"/>
      <c r="C2694" s="510"/>
      <c r="D2694" s="510"/>
      <c r="E2694" s="510"/>
      <c r="F2694" s="510"/>
      <c r="G2694" s="1191" t="s">
        <v>2817</v>
      </c>
      <c r="H2694" s="1192"/>
      <c r="I2694" s="1193"/>
      <c r="J2694" s="570">
        <v>1.1214</v>
      </c>
      <c r="K2694" s="285">
        <f>+K2693*J2694</f>
        <v>134.40123019291656</v>
      </c>
      <c r="L2694" s="186" t="s">
        <v>108</v>
      </c>
      <c r="M2694" s="50"/>
      <c r="N2694" s="50"/>
      <c r="O2694" s="5"/>
      <c r="T2694" s="10"/>
    </row>
    <row r="2695" spans="1:26" ht="30" customHeight="1" thickBot="1" x14ac:dyDescent="0.4">
      <c r="A2695" s="569"/>
      <c r="B2695" s="569"/>
      <c r="C2695" s="510"/>
      <c r="D2695" s="510"/>
      <c r="E2695" s="510"/>
      <c r="F2695" s="510"/>
      <c r="G2695" s="1191" t="s">
        <v>3000</v>
      </c>
      <c r="H2695" s="1192"/>
      <c r="I2695" s="1193"/>
      <c r="J2695" s="570">
        <v>1.0438745311870361</v>
      </c>
      <c r="K2695" s="285">
        <f>+K2694*J2695</f>
        <v>140.29802115859169</v>
      </c>
      <c r="L2695" s="186" t="s">
        <v>108</v>
      </c>
      <c r="M2695" s="50"/>
      <c r="N2695" s="50"/>
      <c r="O2695" s="5"/>
      <c r="P2695" s="384"/>
      <c r="Q2695" s="396"/>
      <c r="R2695" s="396"/>
      <c r="S2695" s="396"/>
      <c r="T2695" s="396"/>
      <c r="U2695" s="10"/>
    </row>
    <row r="2696" spans="1:26" ht="30" customHeight="1" thickBot="1" x14ac:dyDescent="0.4">
      <c r="A2696" s="1199"/>
      <c r="B2696" s="1200"/>
      <c r="C2696" s="1200"/>
      <c r="D2696" s="1200"/>
      <c r="E2696" s="1200"/>
      <c r="F2696" s="1200"/>
      <c r="G2696" s="1200"/>
      <c r="H2696" s="1200"/>
      <c r="I2696" s="1200"/>
      <c r="J2696" s="1200"/>
      <c r="K2696" s="1200"/>
      <c r="L2696" s="1201"/>
      <c r="M2696" s="50"/>
      <c r="N2696" s="50"/>
      <c r="O2696" s="5"/>
      <c r="U2696" s="10"/>
    </row>
    <row r="2697" spans="1:26" ht="30" customHeight="1" x14ac:dyDescent="0.35">
      <c r="A2697" s="388" t="s">
        <v>1</v>
      </c>
      <c r="B2697" s="389">
        <v>6104</v>
      </c>
      <c r="C2697" s="1290" t="s">
        <v>1212</v>
      </c>
      <c r="D2697" s="1291"/>
      <c r="E2697" s="392" t="s">
        <v>3</v>
      </c>
      <c r="F2697" s="393" t="s">
        <v>108</v>
      </c>
      <c r="G2697" s="390" t="s">
        <v>38</v>
      </c>
      <c r="H2697" s="886">
        <v>12410</v>
      </c>
      <c r="I2697" s="392" t="s">
        <v>5</v>
      </c>
      <c r="J2697" s="1207" t="s">
        <v>2861</v>
      </c>
      <c r="K2697" s="1207"/>
      <c r="L2697" s="1208"/>
      <c r="M2697" s="50"/>
      <c r="N2697" s="50"/>
      <c r="U2697" s="396"/>
      <c r="V2697" s="396"/>
      <c r="W2697" s="396"/>
    </row>
    <row r="2698" spans="1:26" ht="30" customHeight="1" x14ac:dyDescent="0.35">
      <c r="A2698" s="185"/>
      <c r="B2698" s="1272" t="s">
        <v>7</v>
      </c>
      <c r="C2698" s="1272"/>
      <c r="D2698" s="1272"/>
      <c r="E2698" s="185" t="s">
        <v>178</v>
      </c>
      <c r="F2698" s="185" t="s">
        <v>52</v>
      </c>
      <c r="G2698" s="1221"/>
      <c r="H2698" s="1222"/>
      <c r="I2698" s="1221" t="s">
        <v>179</v>
      </c>
      <c r="J2698" s="1222"/>
      <c r="K2698" s="1209" t="s">
        <v>180</v>
      </c>
      <c r="L2698" s="1210"/>
      <c r="M2698" s="50"/>
      <c r="N2698" s="50"/>
      <c r="T2698" s="10"/>
    </row>
    <row r="2699" spans="1:26" ht="30" customHeight="1" x14ac:dyDescent="0.35">
      <c r="A2699" s="407" t="s">
        <v>181</v>
      </c>
      <c r="B2699" s="1265" t="s">
        <v>2967</v>
      </c>
      <c r="C2699" s="1265"/>
      <c r="D2699" s="1265"/>
      <c r="E2699" s="498">
        <v>31000</v>
      </c>
      <c r="F2699" s="187">
        <v>1027</v>
      </c>
      <c r="G2699" s="1509"/>
      <c r="H2699" s="1510"/>
      <c r="I2699" s="1217" t="s">
        <v>2860</v>
      </c>
      <c r="J2699" s="1218"/>
      <c r="K2699" s="994">
        <f>+F2699</f>
        <v>1027</v>
      </c>
      <c r="L2699" s="407" t="s">
        <v>108</v>
      </c>
      <c r="M2699" s="50"/>
      <c r="N2699" s="50"/>
      <c r="T2699" s="10"/>
    </row>
    <row r="2700" spans="1:26" ht="30" customHeight="1" thickBot="1" x14ac:dyDescent="0.4">
      <c r="A2700" s="186"/>
      <c r="B2700" s="1264"/>
      <c r="C2700" s="1264"/>
      <c r="D2700" s="1264"/>
      <c r="E2700" s="535"/>
      <c r="F2700" s="536"/>
      <c r="G2700" s="536"/>
      <c r="H2700" s="537"/>
      <c r="I2700" s="503"/>
      <c r="J2700" s="494" t="s">
        <v>37</v>
      </c>
      <c r="K2700" s="193">
        <f>+K2699</f>
        <v>1027</v>
      </c>
      <c r="L2700" s="186" t="s">
        <v>108</v>
      </c>
      <c r="M2700" s="50"/>
      <c r="N2700" s="50"/>
      <c r="P2700" s="384"/>
      <c r="Q2700" s="396"/>
      <c r="R2700" s="396"/>
      <c r="S2700" s="396"/>
      <c r="T2700" s="396"/>
      <c r="U2700" s="10"/>
    </row>
    <row r="2701" spans="1:26" ht="30" customHeight="1" thickBot="1" x14ac:dyDescent="0.4">
      <c r="A2701" s="1199"/>
      <c r="B2701" s="1200"/>
      <c r="C2701" s="1200"/>
      <c r="D2701" s="1200"/>
      <c r="E2701" s="1200"/>
      <c r="F2701" s="1200"/>
      <c r="G2701" s="1200"/>
      <c r="H2701" s="1200"/>
      <c r="I2701" s="1200"/>
      <c r="J2701" s="1200"/>
      <c r="K2701" s="1200"/>
      <c r="L2701" s="1201"/>
      <c r="M2701" s="96"/>
      <c r="N2701" s="50"/>
      <c r="O2701" s="572"/>
      <c r="U2701" s="10"/>
      <c r="X2701" s="396"/>
      <c r="Y2701" s="396"/>
    </row>
    <row r="2702" spans="1:26" ht="30" customHeight="1" x14ac:dyDescent="0.35">
      <c r="A2702" s="388" t="s">
        <v>1</v>
      </c>
      <c r="B2702" s="389">
        <v>6105</v>
      </c>
      <c r="C2702" s="1290" t="s">
        <v>1213</v>
      </c>
      <c r="D2702" s="1291"/>
      <c r="E2702" s="392" t="s">
        <v>3</v>
      </c>
      <c r="F2702" s="393" t="s">
        <v>108</v>
      </c>
      <c r="G2702" s="390" t="s">
        <v>38</v>
      </c>
      <c r="H2702" s="135">
        <v>227136</v>
      </c>
      <c r="I2702" s="392" t="s">
        <v>5</v>
      </c>
      <c r="J2702" s="1207" t="s">
        <v>2799</v>
      </c>
      <c r="K2702" s="1207"/>
      <c r="L2702" s="1208"/>
      <c r="M2702" s="50"/>
      <c r="N2702" s="50"/>
      <c r="U2702" s="396"/>
      <c r="V2702" s="396"/>
      <c r="W2702" s="396"/>
      <c r="Z2702" s="396"/>
    </row>
    <row r="2703" spans="1:26" ht="30" customHeight="1" x14ac:dyDescent="0.35">
      <c r="A2703" s="185" t="s">
        <v>177</v>
      </c>
      <c r="B2703" s="1272" t="s">
        <v>7</v>
      </c>
      <c r="C2703" s="1272"/>
      <c r="D2703" s="1272"/>
      <c r="E2703" s="397" t="s">
        <v>52</v>
      </c>
      <c r="F2703" s="185" t="s">
        <v>178</v>
      </c>
      <c r="G2703" s="1292" t="s">
        <v>54</v>
      </c>
      <c r="H2703" s="1293"/>
      <c r="I2703" s="1221" t="s">
        <v>179</v>
      </c>
      <c r="J2703" s="1222"/>
      <c r="K2703" s="1209" t="s">
        <v>180</v>
      </c>
      <c r="L2703" s="1210"/>
      <c r="M2703" s="50"/>
      <c r="N2703" s="50"/>
      <c r="T2703" s="10"/>
    </row>
    <row r="2704" spans="1:26" ht="30" customHeight="1" x14ac:dyDescent="0.35">
      <c r="A2704" s="186"/>
      <c r="B2704" s="1559" t="s">
        <v>2798</v>
      </c>
      <c r="C2704" s="1560"/>
      <c r="D2704" s="1561"/>
      <c r="E2704" s="194">
        <v>813.893416</v>
      </c>
      <c r="F2704" s="203"/>
      <c r="G2704" s="401"/>
      <c r="H2704" s="401"/>
      <c r="I2704" s="1492">
        <v>1.1706000000000001</v>
      </c>
      <c r="J2704" s="1493"/>
      <c r="K2704" s="187">
        <f>E2704*I2704</f>
        <v>952.74363276960003</v>
      </c>
      <c r="L2704" s="401" t="s">
        <v>108</v>
      </c>
      <c r="M2704" s="50"/>
      <c r="N2704" s="50"/>
      <c r="T2704" s="10"/>
    </row>
    <row r="2705" spans="1:26" ht="30" customHeight="1" thickBot="1" x14ac:dyDescent="0.4">
      <c r="A2705" s="186"/>
      <c r="B2705" s="1212"/>
      <c r="C2705" s="1213"/>
      <c r="D2705" s="1214"/>
      <c r="E2705" s="995"/>
      <c r="F2705" s="996"/>
      <c r="G2705" s="996"/>
      <c r="H2705" s="997"/>
      <c r="I2705" s="503"/>
      <c r="J2705" s="494" t="s">
        <v>37</v>
      </c>
      <c r="K2705" s="193">
        <f>AVERAGE(K2704:K2704)</f>
        <v>952.74363276960003</v>
      </c>
      <c r="L2705" s="401" t="s">
        <v>108</v>
      </c>
      <c r="M2705" s="50"/>
      <c r="P2705" s="384"/>
      <c r="Q2705" s="396"/>
      <c r="R2705" s="396"/>
      <c r="S2705" s="396"/>
      <c r="T2705" s="396"/>
    </row>
    <row r="2706" spans="1:26" s="396" customFormat="1" ht="30" customHeight="1" thickBot="1" x14ac:dyDescent="0.4">
      <c r="A2706" s="1199"/>
      <c r="B2706" s="1200"/>
      <c r="C2706" s="1200"/>
      <c r="D2706" s="1200"/>
      <c r="E2706" s="1200"/>
      <c r="F2706" s="1200"/>
      <c r="G2706" s="1200"/>
      <c r="H2706" s="1200"/>
      <c r="I2706" s="1200"/>
      <c r="J2706" s="1200"/>
      <c r="K2706" s="1200"/>
      <c r="L2706" s="1201"/>
      <c r="M2706" s="50"/>
      <c r="N2706" s="50"/>
      <c r="O2706" s="572"/>
      <c r="P2706" s="14"/>
      <c r="Q2706" s="9"/>
      <c r="R2706" s="9"/>
      <c r="S2706" s="9"/>
      <c r="T2706" s="9"/>
      <c r="U2706" s="9"/>
      <c r="V2706" s="9"/>
      <c r="W2706" s="9"/>
      <c r="X2706" s="9"/>
      <c r="Y2706" s="9"/>
      <c r="Z2706" s="9"/>
    </row>
    <row r="2707" spans="1:26" ht="30" customHeight="1" x14ac:dyDescent="0.35">
      <c r="A2707" s="388" t="s">
        <v>1</v>
      </c>
      <c r="B2707" s="389">
        <v>6106</v>
      </c>
      <c r="C2707" s="1290" t="s">
        <v>1214</v>
      </c>
      <c r="D2707" s="1291"/>
      <c r="E2707" s="392" t="s">
        <v>3</v>
      </c>
      <c r="F2707" s="393" t="s">
        <v>108</v>
      </c>
      <c r="G2707" s="390" t="s">
        <v>38</v>
      </c>
      <c r="H2707" s="135">
        <v>197384</v>
      </c>
      <c r="I2707" s="392" t="s">
        <v>5</v>
      </c>
      <c r="J2707" s="1207" t="s">
        <v>1124</v>
      </c>
      <c r="K2707" s="1207"/>
      <c r="L2707" s="1208"/>
      <c r="M2707" s="50"/>
      <c r="N2707" s="50"/>
      <c r="X2707" s="396"/>
      <c r="Y2707" s="396"/>
    </row>
    <row r="2708" spans="1:26" ht="30" customHeight="1" x14ac:dyDescent="0.35">
      <c r="A2708" s="185" t="s">
        <v>177</v>
      </c>
      <c r="B2708" s="1272" t="s">
        <v>7</v>
      </c>
      <c r="C2708" s="1272"/>
      <c r="D2708" s="1272"/>
      <c r="E2708" s="397" t="s">
        <v>52</v>
      </c>
      <c r="F2708" s="185" t="s">
        <v>178</v>
      </c>
      <c r="G2708" s="1292" t="s">
        <v>54</v>
      </c>
      <c r="H2708" s="1293"/>
      <c r="I2708" s="1221" t="s">
        <v>179</v>
      </c>
      <c r="J2708" s="1222"/>
      <c r="K2708" s="1209" t="s">
        <v>180</v>
      </c>
      <c r="L2708" s="1210"/>
      <c r="M2708" s="50"/>
      <c r="N2708" s="50"/>
      <c r="P2708" s="9"/>
      <c r="Q2708" s="34"/>
      <c r="R2708" s="5"/>
      <c r="S2708" s="35"/>
      <c r="X2708" s="396"/>
      <c r="Y2708" s="396"/>
      <c r="Z2708" s="396"/>
    </row>
    <row r="2709" spans="1:26" ht="30" customHeight="1" x14ac:dyDescent="0.35">
      <c r="A2709" s="186">
        <v>21910</v>
      </c>
      <c r="B2709" s="1212" t="s">
        <v>1215</v>
      </c>
      <c r="C2709" s="1213"/>
      <c r="D2709" s="1214"/>
      <c r="E2709" s="194">
        <v>287</v>
      </c>
      <c r="F2709" s="203">
        <v>8200</v>
      </c>
      <c r="G2709" s="401"/>
      <c r="H2709" s="401"/>
      <c r="I2709" s="1492">
        <f>'FY2024 MILCON Inflation Table'!F17</f>
        <v>1.2685988100270957</v>
      </c>
      <c r="J2709" s="1493"/>
      <c r="K2709" s="187">
        <f>E2709*I2709</f>
        <v>364.08785847777648</v>
      </c>
      <c r="L2709" s="401" t="s">
        <v>108</v>
      </c>
      <c r="M2709" s="50"/>
      <c r="N2709" s="50"/>
      <c r="P2709" s="9"/>
      <c r="Q2709" s="34"/>
      <c r="R2709" s="5"/>
      <c r="S2709" s="35"/>
    </row>
    <row r="2710" spans="1:26" ht="30" customHeight="1" thickBot="1" x14ac:dyDescent="0.4">
      <c r="A2710" s="186"/>
      <c r="B2710" s="1212" t="s">
        <v>2852</v>
      </c>
      <c r="C2710" s="1213"/>
      <c r="D2710" s="1214"/>
      <c r="E2710" s="995"/>
      <c r="F2710" s="1765"/>
      <c r="G2710" s="1765"/>
      <c r="H2710" s="1766"/>
      <c r="I2710" s="503"/>
      <c r="J2710" s="494" t="s">
        <v>37</v>
      </c>
      <c r="K2710" s="193">
        <f>AVERAGE(K2709:K2709)</f>
        <v>364.08785847777648</v>
      </c>
      <c r="L2710" s="401" t="s">
        <v>108</v>
      </c>
      <c r="M2710" s="50"/>
      <c r="N2710" s="50"/>
      <c r="P2710" s="9"/>
      <c r="Q2710" s="34"/>
      <c r="R2710" s="5"/>
      <c r="S2710" s="35"/>
      <c r="X2710" s="396"/>
      <c r="Y2710" s="396"/>
      <c r="Z2710" s="396"/>
    </row>
    <row r="2711" spans="1:26" ht="30" customHeight="1" thickBot="1" x14ac:dyDescent="0.4">
      <c r="A2711" s="1199"/>
      <c r="B2711" s="1200"/>
      <c r="C2711" s="1200"/>
      <c r="D2711" s="1200"/>
      <c r="E2711" s="1200"/>
      <c r="F2711" s="1200"/>
      <c r="G2711" s="1200"/>
      <c r="H2711" s="1200"/>
      <c r="I2711" s="1200"/>
      <c r="J2711" s="1200"/>
      <c r="K2711" s="1200"/>
      <c r="L2711" s="1201"/>
      <c r="M2711" s="50"/>
      <c r="N2711" s="50"/>
      <c r="O2711" s="572"/>
      <c r="P2711" s="9"/>
      <c r="Q2711" s="34"/>
      <c r="R2711" s="5"/>
      <c r="S2711" s="35"/>
      <c r="Z2711" s="396"/>
    </row>
    <row r="2712" spans="1:26" s="396" customFormat="1" ht="30" customHeight="1" x14ac:dyDescent="0.35">
      <c r="A2712" s="388" t="s">
        <v>1</v>
      </c>
      <c r="B2712" s="389">
        <v>6107</v>
      </c>
      <c r="C2712" s="1290" t="s">
        <v>2853</v>
      </c>
      <c r="D2712" s="1291"/>
      <c r="E2712" s="392" t="s">
        <v>3</v>
      </c>
      <c r="F2712" s="562" t="s">
        <v>108</v>
      </c>
      <c r="G2712" s="390" t="s">
        <v>38</v>
      </c>
      <c r="H2712" s="886">
        <v>326900</v>
      </c>
      <c r="I2712" s="392" t="s">
        <v>5</v>
      </c>
      <c r="J2712" s="1207" t="s">
        <v>186</v>
      </c>
      <c r="K2712" s="1207"/>
      <c r="L2712" s="1208"/>
      <c r="M2712" s="50"/>
      <c r="N2712" s="50"/>
      <c r="O2712" s="9"/>
      <c r="P2712" s="9"/>
      <c r="Q2712" s="34"/>
      <c r="R2712" s="5"/>
      <c r="S2712" s="35"/>
      <c r="T2712" s="9"/>
      <c r="U2712" s="9"/>
      <c r="V2712" s="9"/>
      <c r="W2712" s="9"/>
      <c r="X2712" s="9"/>
      <c r="Y2712" s="9"/>
      <c r="Z2712" s="9"/>
    </row>
    <row r="2713" spans="1:26" s="396" customFormat="1" ht="30" customHeight="1" x14ac:dyDescent="0.35">
      <c r="A2713" s="494" t="s">
        <v>187</v>
      </c>
      <c r="B2713" s="1280" t="s">
        <v>211</v>
      </c>
      <c r="C2713" s="1281"/>
      <c r="D2713" s="1282"/>
      <c r="E2713" s="566" t="s">
        <v>52</v>
      </c>
      <c r="F2713" s="566" t="s">
        <v>53</v>
      </c>
      <c r="G2713" s="1219" t="s">
        <v>54</v>
      </c>
      <c r="H2713" s="1220"/>
      <c r="I2713" s="185" t="s">
        <v>188</v>
      </c>
      <c r="J2713" s="185"/>
      <c r="K2713" s="1209" t="s">
        <v>180</v>
      </c>
      <c r="L2713" s="1210"/>
      <c r="M2713" s="50"/>
      <c r="N2713" s="50"/>
      <c r="O2713" s="9"/>
      <c r="P2713" s="9"/>
      <c r="Q2713" s="34"/>
      <c r="R2713" s="5"/>
      <c r="S2713" s="35"/>
      <c r="T2713" s="9"/>
      <c r="U2713" s="9"/>
      <c r="V2713" s="9"/>
      <c r="W2713" s="9"/>
      <c r="X2713" s="9"/>
      <c r="Y2713" s="9"/>
      <c r="Z2713" s="9"/>
    </row>
    <row r="2714" spans="1:26" s="396" customFormat="1" ht="30" customHeight="1" x14ac:dyDescent="0.35">
      <c r="A2714" s="985" t="s">
        <v>1216</v>
      </c>
      <c r="B2714" s="1202" t="s">
        <v>1217</v>
      </c>
      <c r="C2714" s="1203"/>
      <c r="D2714" s="1204"/>
      <c r="E2714" s="194">
        <v>228</v>
      </c>
      <c r="F2714" s="186" t="s">
        <v>108</v>
      </c>
      <c r="G2714" s="186"/>
      <c r="H2714" s="186"/>
      <c r="I2714" s="186">
        <v>1.18</v>
      </c>
      <c r="J2714" s="204"/>
      <c r="K2714" s="194">
        <f>+E2714*I2714</f>
        <v>269.03999999999996</v>
      </c>
      <c r="L2714" s="186" t="s">
        <v>108</v>
      </c>
      <c r="M2714" s="11"/>
      <c r="N2714" s="50"/>
      <c r="O2714" s="539"/>
      <c r="P2714" s="9"/>
      <c r="Q2714" s="34"/>
      <c r="R2714" s="5"/>
      <c r="S2714" s="35"/>
      <c r="T2714" s="9"/>
      <c r="U2714" s="9"/>
      <c r="V2714" s="9"/>
      <c r="W2714" s="9"/>
      <c r="X2714" s="9"/>
      <c r="Y2714" s="9"/>
      <c r="Z2714" s="9"/>
    </row>
    <row r="2715" spans="1:26" ht="30" customHeight="1" x14ac:dyDescent="0.35">
      <c r="A2715" s="985" t="s">
        <v>1216</v>
      </c>
      <c r="B2715" s="1264" t="s">
        <v>1218</v>
      </c>
      <c r="C2715" s="1264"/>
      <c r="D2715" s="1264"/>
      <c r="E2715" s="193"/>
      <c r="F2715" s="186"/>
      <c r="G2715" s="917">
        <f>13*0.005</f>
        <v>6.5000000000000002E-2</v>
      </c>
      <c r="H2715" s="534"/>
      <c r="I2715" s="186">
        <v>1.18</v>
      </c>
      <c r="J2715" s="204"/>
      <c r="K2715" s="194">
        <f>+K2714*I2715*G2715</f>
        <v>20.635367999999996</v>
      </c>
      <c r="L2715" s="186" t="s">
        <v>108</v>
      </c>
      <c r="M2715" s="50"/>
      <c r="N2715" s="50"/>
      <c r="P2715" s="9"/>
      <c r="Q2715" s="34"/>
      <c r="R2715" s="5"/>
      <c r="S2715" s="35"/>
    </row>
    <row r="2716" spans="1:26" ht="30" customHeight="1" x14ac:dyDescent="0.35">
      <c r="A2716" s="985" t="s">
        <v>285</v>
      </c>
      <c r="B2716" s="1264" t="s">
        <v>1219</v>
      </c>
      <c r="C2716" s="1264"/>
      <c r="D2716" s="1264"/>
      <c r="E2716" s="193">
        <v>2.31</v>
      </c>
      <c r="F2716" s="186" t="s">
        <v>108</v>
      </c>
      <c r="G2716" s="998"/>
      <c r="H2716" s="534"/>
      <c r="I2716" s="186">
        <v>1.18</v>
      </c>
      <c r="J2716" s="204"/>
      <c r="K2716" s="194">
        <f>+E2716*I2716</f>
        <v>2.7258</v>
      </c>
      <c r="L2716" s="186" t="s">
        <v>108</v>
      </c>
      <c r="M2716" s="96"/>
      <c r="N2716" s="50"/>
      <c r="O2716" s="572"/>
      <c r="P2716" s="9"/>
      <c r="Q2716" s="34"/>
      <c r="R2716" s="5"/>
      <c r="S2716" s="35"/>
    </row>
    <row r="2717" spans="1:26" ht="30" customHeight="1" x14ac:dyDescent="0.35">
      <c r="A2717" s="186"/>
      <c r="B2717" s="1264"/>
      <c r="C2717" s="1264"/>
      <c r="D2717" s="1264"/>
      <c r="E2717" s="194"/>
      <c r="F2717" s="186"/>
      <c r="G2717" s="503"/>
      <c r="H2717" s="534"/>
      <c r="I2717" s="186"/>
      <c r="J2717" s="186" t="s">
        <v>223</v>
      </c>
      <c r="K2717" s="194">
        <f>SUM(K2714:K2716)</f>
        <v>292.40116799999993</v>
      </c>
      <c r="L2717" s="186" t="s">
        <v>108</v>
      </c>
      <c r="M2717" s="50"/>
      <c r="P2717" s="9"/>
      <c r="Q2717" s="34"/>
      <c r="R2717" s="5"/>
      <c r="S2717" s="35"/>
    </row>
    <row r="2718" spans="1:26" ht="30" customHeight="1" x14ac:dyDescent="0.35">
      <c r="A2718" s="186"/>
      <c r="B2718" s="1264"/>
      <c r="C2718" s="1264"/>
      <c r="D2718" s="1264"/>
      <c r="E2718" s="194"/>
      <c r="F2718" s="1215" t="s">
        <v>195</v>
      </c>
      <c r="G2718" s="1273" t="s">
        <v>196</v>
      </c>
      <c r="H2718" s="1273"/>
      <c r="I2718" s="1273"/>
      <c r="J2718" s="1273"/>
      <c r="K2718" s="204">
        <v>1.05</v>
      </c>
      <c r="L2718" s="186"/>
      <c r="M2718" s="50"/>
      <c r="N2718" s="50"/>
      <c r="P2718" s="9"/>
      <c r="Q2718" s="34"/>
      <c r="R2718" s="5"/>
      <c r="S2718" s="35"/>
    </row>
    <row r="2719" spans="1:26" ht="30" customHeight="1" x14ac:dyDescent="0.35">
      <c r="A2719" s="186"/>
      <c r="B2719" s="1264"/>
      <c r="C2719" s="1264"/>
      <c r="D2719" s="1264"/>
      <c r="E2719" s="194"/>
      <c r="F2719" s="1216"/>
      <c r="G2719" s="1268" t="s">
        <v>197</v>
      </c>
      <c r="H2719" s="1268"/>
      <c r="I2719" s="1268"/>
      <c r="J2719" s="1268"/>
      <c r="K2719" s="196">
        <v>1.06</v>
      </c>
      <c r="L2719" s="186"/>
      <c r="M2719" s="50"/>
      <c r="N2719" s="50"/>
    </row>
    <row r="2720" spans="1:26" ht="30" customHeight="1" x14ac:dyDescent="0.35">
      <c r="A2720" s="186"/>
      <c r="B2720" s="1264"/>
      <c r="C2720" s="1264"/>
      <c r="D2720" s="1264"/>
      <c r="E2720" s="503"/>
      <c r="F2720" s="503"/>
      <c r="G2720" s="503"/>
      <c r="H2720" s="503"/>
      <c r="I2720" s="503"/>
      <c r="J2720" s="186" t="s">
        <v>37</v>
      </c>
      <c r="K2720" s="193">
        <f>+K2717*K2718/K2719</f>
        <v>289.64266641509425</v>
      </c>
      <c r="L2720" s="186" t="s">
        <v>108</v>
      </c>
      <c r="M2720" s="50"/>
      <c r="N2720" s="50"/>
      <c r="O2720" s="5"/>
      <c r="P2720" s="9"/>
      <c r="Q2720" s="34"/>
      <c r="R2720" s="5"/>
      <c r="S2720" s="35"/>
    </row>
    <row r="2721" spans="1:23" ht="30" customHeight="1" x14ac:dyDescent="0.35">
      <c r="A2721" s="186"/>
      <c r="B2721" s="1264"/>
      <c r="C2721" s="1264"/>
      <c r="D2721" s="1264"/>
      <c r="E2721" s="503"/>
      <c r="F2721" s="503"/>
      <c r="G2721" s="1374" t="s">
        <v>257</v>
      </c>
      <c r="H2721" s="1375"/>
      <c r="I2721" s="1376"/>
      <c r="J2721" s="560">
        <f>VLOOKUP(B2712,'Mil Cost Premiums for PUCs'!$A$4:$R$285,18,FALSE)</f>
        <v>1.3319480854780448</v>
      </c>
      <c r="K2721" s="193">
        <f>+K2720*J2721</f>
        <v>385.78899500434079</v>
      </c>
      <c r="L2721" s="186" t="s">
        <v>108</v>
      </c>
      <c r="M2721" s="50"/>
      <c r="N2721" s="50"/>
      <c r="O2721" s="5"/>
      <c r="P2721" s="9"/>
      <c r="Q2721" s="34"/>
      <c r="R2721" s="5"/>
      <c r="S2721" s="35"/>
    </row>
    <row r="2722" spans="1:23" ht="30" customHeight="1" x14ac:dyDescent="0.35">
      <c r="A2722" s="569"/>
      <c r="B2722" s="569"/>
      <c r="C2722" s="510"/>
      <c r="D2722" s="510"/>
      <c r="E2722" s="510"/>
      <c r="F2722" s="510"/>
      <c r="G2722" s="1191" t="s">
        <v>2817</v>
      </c>
      <c r="H2722" s="1192"/>
      <c r="I2722" s="1193"/>
      <c r="J2722" s="570">
        <v>1.1214</v>
      </c>
      <c r="K2722" s="285">
        <f>+K2721*J2722</f>
        <v>432.62377899786776</v>
      </c>
      <c r="L2722" s="186" t="s">
        <v>108</v>
      </c>
      <c r="M2722" s="50"/>
      <c r="N2722" s="50"/>
      <c r="O2722" s="5"/>
      <c r="P2722" s="9"/>
      <c r="Q2722" s="34"/>
      <c r="R2722" s="5"/>
      <c r="S2722" s="35"/>
    </row>
    <row r="2723" spans="1:23" ht="30" customHeight="1" thickBot="1" x14ac:dyDescent="0.4">
      <c r="A2723" s="569"/>
      <c r="B2723" s="569"/>
      <c r="C2723" s="510"/>
      <c r="D2723" s="510"/>
      <c r="E2723" s="510"/>
      <c r="F2723" s="510"/>
      <c r="G2723" s="1191" t="s">
        <v>3000</v>
      </c>
      <c r="H2723" s="1192"/>
      <c r="I2723" s="1193"/>
      <c r="J2723" s="570">
        <v>1.0438745311870361</v>
      </c>
      <c r="K2723" s="285">
        <f>+K2722*J2723</f>
        <v>451.60494448176314</v>
      </c>
      <c r="L2723" s="186" t="s">
        <v>108</v>
      </c>
      <c r="M2723" s="50"/>
      <c r="N2723" s="50"/>
      <c r="O2723" s="5"/>
      <c r="P2723" s="9"/>
      <c r="Q2723" s="34"/>
      <c r="R2723" s="5"/>
      <c r="S2723" s="35"/>
    </row>
    <row r="2724" spans="1:23" ht="30" customHeight="1" thickBot="1" x14ac:dyDescent="0.4">
      <c r="A2724" s="1199"/>
      <c r="B2724" s="1200"/>
      <c r="C2724" s="1200"/>
      <c r="D2724" s="1200"/>
      <c r="E2724" s="1200"/>
      <c r="F2724" s="1200"/>
      <c r="G2724" s="1200"/>
      <c r="H2724" s="1200"/>
      <c r="I2724" s="1200"/>
      <c r="J2724" s="1200"/>
      <c r="K2724" s="1200"/>
      <c r="L2724" s="1201"/>
      <c r="M2724" s="50"/>
      <c r="N2724" s="50"/>
      <c r="O2724" s="384"/>
      <c r="P2724" s="9"/>
      <c r="Q2724" s="34"/>
      <c r="R2724" s="5"/>
      <c r="S2724" s="35"/>
    </row>
    <row r="2725" spans="1:23" ht="30" customHeight="1" x14ac:dyDescent="0.35">
      <c r="A2725" s="388" t="s">
        <v>1</v>
      </c>
      <c r="B2725" s="389">
        <v>6200</v>
      </c>
      <c r="C2725" s="1290" t="s">
        <v>1220</v>
      </c>
      <c r="D2725" s="1291"/>
      <c r="E2725" s="392" t="s">
        <v>3</v>
      </c>
      <c r="F2725" s="393" t="s">
        <v>108</v>
      </c>
      <c r="G2725" s="390" t="s">
        <v>38</v>
      </c>
      <c r="H2725" s="132">
        <v>13333</v>
      </c>
      <c r="I2725" s="392" t="s">
        <v>5</v>
      </c>
      <c r="J2725" s="1207" t="s">
        <v>1221</v>
      </c>
      <c r="K2725" s="1207"/>
      <c r="L2725" s="1208"/>
      <c r="M2725" s="96"/>
      <c r="N2725" s="50"/>
      <c r="O2725" s="384"/>
      <c r="P2725" s="9"/>
      <c r="Q2725" s="34"/>
      <c r="R2725" s="5"/>
      <c r="S2725" s="35"/>
    </row>
    <row r="2726" spans="1:23" ht="30" customHeight="1" x14ac:dyDescent="0.35">
      <c r="A2726" s="185" t="s">
        <v>177</v>
      </c>
      <c r="B2726" s="1272" t="s">
        <v>7</v>
      </c>
      <c r="C2726" s="1272"/>
      <c r="D2726" s="1272"/>
      <c r="E2726" s="492" t="s">
        <v>178</v>
      </c>
      <c r="F2726" s="397" t="s">
        <v>52</v>
      </c>
      <c r="G2726" s="999"/>
      <c r="I2726" s="1221" t="s">
        <v>179</v>
      </c>
      <c r="J2726" s="1222"/>
      <c r="K2726" s="1209" t="s">
        <v>180</v>
      </c>
      <c r="L2726" s="1210"/>
      <c r="M2726" s="96"/>
      <c r="N2726" s="50"/>
      <c r="O2726" s="5"/>
      <c r="P2726" s="9"/>
      <c r="Q2726" s="34"/>
      <c r="R2726" s="5"/>
      <c r="S2726" s="35"/>
    </row>
    <row r="2727" spans="1:23" ht="30" customHeight="1" x14ac:dyDescent="0.35">
      <c r="A2727" s="401">
        <v>62010</v>
      </c>
      <c r="B2727" s="1265" t="s">
        <v>1222</v>
      </c>
      <c r="C2727" s="1265"/>
      <c r="D2727" s="1265"/>
      <c r="E2727" s="531">
        <v>6000</v>
      </c>
      <c r="F2727" s="187">
        <v>235</v>
      </c>
      <c r="G2727" s="401"/>
      <c r="H2727" s="915"/>
      <c r="I2727" s="1492">
        <f>+'FY2024 MILCON Inflation Table'!F8</f>
        <v>1.7467053391350638</v>
      </c>
      <c r="J2727" s="1493"/>
      <c r="K2727" s="189">
        <f>+F2727*I2727</f>
        <v>410.47575469674001</v>
      </c>
      <c r="L2727" s="401" t="s">
        <v>108</v>
      </c>
      <c r="M2727" s="50"/>
      <c r="N2727" s="50"/>
      <c r="O2727" s="5"/>
      <c r="P2727" s="9"/>
      <c r="Q2727" s="34"/>
      <c r="R2727" s="5"/>
      <c r="S2727" s="35"/>
    </row>
    <row r="2728" spans="1:23" ht="30" customHeight="1" thickBot="1" x14ac:dyDescent="0.4">
      <c r="A2728" s="186"/>
      <c r="B2728" s="1264"/>
      <c r="C2728" s="1264"/>
      <c r="D2728" s="1264"/>
      <c r="E2728" s="535"/>
      <c r="F2728" s="536"/>
      <c r="G2728" s="536"/>
      <c r="H2728" s="537"/>
      <c r="I2728" s="503"/>
      <c r="J2728" s="494" t="s">
        <v>37</v>
      </c>
      <c r="K2728" s="190">
        <f>+K2727</f>
        <v>410.47575469674001</v>
      </c>
      <c r="L2728" s="186" t="s">
        <v>108</v>
      </c>
      <c r="M2728" s="50"/>
      <c r="N2728" s="50"/>
    </row>
    <row r="2729" spans="1:23" ht="30" customHeight="1" thickBot="1" x14ac:dyDescent="0.4">
      <c r="A2729" s="1199"/>
      <c r="B2729" s="1200"/>
      <c r="C2729" s="1200"/>
      <c r="D2729" s="1200"/>
      <c r="E2729" s="1200"/>
      <c r="F2729" s="1200"/>
      <c r="G2729" s="1200"/>
      <c r="H2729" s="1200"/>
      <c r="I2729" s="1200"/>
      <c r="J2729" s="1200"/>
      <c r="K2729" s="1200"/>
      <c r="L2729" s="1201"/>
      <c r="M2729" s="50"/>
      <c r="N2729" s="50"/>
      <c r="O2729" s="5"/>
      <c r="P2729" s="9"/>
      <c r="Q2729" s="34"/>
      <c r="R2729" s="5"/>
      <c r="S2729" s="35"/>
      <c r="U2729" s="10"/>
    </row>
    <row r="2730" spans="1:23" ht="30" customHeight="1" x14ac:dyDescent="0.35">
      <c r="A2730" s="388" t="s">
        <v>1</v>
      </c>
      <c r="B2730" s="389">
        <v>6201</v>
      </c>
      <c r="C2730" s="1290" t="s">
        <v>1223</v>
      </c>
      <c r="D2730" s="1291"/>
      <c r="E2730" s="392" t="s">
        <v>3</v>
      </c>
      <c r="F2730" s="393" t="s">
        <v>108</v>
      </c>
      <c r="G2730" s="390" t="s">
        <v>38</v>
      </c>
      <c r="H2730" s="135">
        <v>231854</v>
      </c>
      <c r="I2730" s="392" t="s">
        <v>5</v>
      </c>
      <c r="J2730" s="1207" t="s">
        <v>2871</v>
      </c>
      <c r="K2730" s="1207"/>
      <c r="L2730" s="1208"/>
      <c r="M2730" s="50"/>
      <c r="N2730" s="50"/>
      <c r="O2730" s="5"/>
      <c r="P2730" s="9"/>
      <c r="Q2730" s="34"/>
      <c r="R2730" s="5"/>
      <c r="S2730" s="35"/>
      <c r="U2730" s="10"/>
    </row>
    <row r="2731" spans="1:23" ht="30" customHeight="1" x14ac:dyDescent="0.35">
      <c r="A2731" s="185" t="s">
        <v>177</v>
      </c>
      <c r="B2731" s="1272" t="s">
        <v>7</v>
      </c>
      <c r="C2731" s="1272"/>
      <c r="D2731" s="1272"/>
      <c r="E2731" s="492" t="s">
        <v>178</v>
      </c>
      <c r="F2731" s="397" t="s">
        <v>52</v>
      </c>
      <c r="G2731" s="999"/>
      <c r="H2731" s="492"/>
      <c r="I2731" s="1221" t="s">
        <v>179</v>
      </c>
      <c r="J2731" s="1222"/>
      <c r="K2731" s="1209" t="s">
        <v>180</v>
      </c>
      <c r="L2731" s="1210"/>
      <c r="M2731" s="50"/>
      <c r="N2731" s="50"/>
      <c r="O2731" s="5"/>
      <c r="P2731" s="9"/>
      <c r="Q2731" s="34"/>
      <c r="R2731" s="5"/>
      <c r="S2731" s="35"/>
      <c r="U2731" s="396"/>
      <c r="V2731" s="396"/>
      <c r="W2731" s="396"/>
    </row>
    <row r="2732" spans="1:23" ht="30" customHeight="1" x14ac:dyDescent="0.35">
      <c r="A2732" s="407" t="s">
        <v>181</v>
      </c>
      <c r="B2732" s="1265" t="s">
        <v>1224</v>
      </c>
      <c r="C2732" s="1265"/>
      <c r="D2732" s="1265"/>
      <c r="E2732" s="498">
        <v>100000</v>
      </c>
      <c r="F2732" s="1000">
        <v>659</v>
      </c>
      <c r="G2732" s="401"/>
      <c r="H2732" s="211"/>
      <c r="I2732" s="1492" t="s">
        <v>2860</v>
      </c>
      <c r="J2732" s="1493"/>
      <c r="K2732" s="1001">
        <f>F2732</f>
        <v>659</v>
      </c>
      <c r="L2732" s="407" t="s">
        <v>108</v>
      </c>
      <c r="M2732" s="50"/>
      <c r="N2732" s="50"/>
      <c r="O2732" s="5"/>
      <c r="T2732" s="10"/>
    </row>
    <row r="2733" spans="1:23" ht="30" customHeight="1" x14ac:dyDescent="0.35">
      <c r="A2733" s="401">
        <v>62010</v>
      </c>
      <c r="B2733" s="1265" t="s">
        <v>1225</v>
      </c>
      <c r="C2733" s="1265"/>
      <c r="D2733" s="1265"/>
      <c r="E2733" s="531">
        <v>6000</v>
      </c>
      <c r="F2733" s="187">
        <v>235</v>
      </c>
      <c r="G2733" s="401"/>
      <c r="H2733" s="915"/>
      <c r="I2733" s="1492">
        <f>+'FY2024 MILCON Inflation Table'!F8</f>
        <v>1.7467053391350638</v>
      </c>
      <c r="J2733" s="1493"/>
      <c r="K2733" s="187">
        <f>+F2733*I2733</f>
        <v>410.47575469674001</v>
      </c>
      <c r="L2733" s="401" t="s">
        <v>108</v>
      </c>
      <c r="M2733" s="50"/>
      <c r="N2733" s="50"/>
      <c r="O2733" s="5"/>
      <c r="T2733" s="10"/>
    </row>
    <row r="2734" spans="1:23" ht="30" customHeight="1" x14ac:dyDescent="0.35">
      <c r="A2734" s="401"/>
      <c r="B2734" s="383"/>
      <c r="C2734" s="383"/>
      <c r="D2734" s="383"/>
      <c r="E2734" s="649"/>
      <c r="F2734" s="137"/>
      <c r="G2734" s="728"/>
      <c r="H2734" s="1002"/>
      <c r="I2734" s="1492" t="s">
        <v>192</v>
      </c>
      <c r="J2734" s="1493"/>
      <c r="K2734" s="187">
        <f>+AVERAGE(K2732:K2733)</f>
        <v>534.73787734837003</v>
      </c>
      <c r="L2734" s="401" t="s">
        <v>108</v>
      </c>
      <c r="M2734" s="50"/>
      <c r="N2734" s="50"/>
      <c r="O2734" s="396"/>
      <c r="P2734" s="384"/>
      <c r="Q2734" s="396"/>
      <c r="R2734" s="396"/>
      <c r="S2734" s="396"/>
      <c r="T2734" s="396"/>
      <c r="U2734" s="10"/>
    </row>
    <row r="2735" spans="1:23" ht="30" customHeight="1" thickBot="1" x14ac:dyDescent="0.4">
      <c r="A2735" s="186"/>
      <c r="B2735" s="1264"/>
      <c r="C2735" s="1264"/>
      <c r="D2735" s="1264"/>
      <c r="E2735" s="535"/>
      <c r="F2735" s="536"/>
      <c r="G2735" s="536"/>
      <c r="H2735" s="537"/>
      <c r="I2735" s="503"/>
      <c r="J2735" s="494" t="s">
        <v>37</v>
      </c>
      <c r="K2735" s="193">
        <f>K2734</f>
        <v>534.73787734837003</v>
      </c>
      <c r="L2735" s="186" t="s">
        <v>108</v>
      </c>
      <c r="M2735" s="50"/>
      <c r="N2735" s="50"/>
      <c r="O2735" s="5"/>
    </row>
    <row r="2736" spans="1:23" ht="30" customHeight="1" thickBot="1" x14ac:dyDescent="0.4">
      <c r="A2736" s="1199"/>
      <c r="B2736" s="1200"/>
      <c r="C2736" s="1200"/>
      <c r="D2736" s="1200"/>
      <c r="E2736" s="1200"/>
      <c r="F2736" s="1200"/>
      <c r="G2736" s="1200"/>
      <c r="H2736" s="1200"/>
      <c r="I2736" s="1200"/>
      <c r="J2736" s="1200"/>
      <c r="K2736" s="1200"/>
      <c r="L2736" s="1201"/>
      <c r="M2736" s="50"/>
      <c r="N2736" s="50"/>
      <c r="O2736" s="5"/>
      <c r="P2736" s="9"/>
      <c r="Q2736" s="34"/>
      <c r="R2736" s="5"/>
      <c r="S2736" s="35"/>
      <c r="U2736" s="10"/>
    </row>
    <row r="2737" spans="1:23" ht="30" customHeight="1" x14ac:dyDescent="0.35">
      <c r="A2737" s="388" t="s">
        <v>1</v>
      </c>
      <c r="B2737" s="389">
        <v>6900</v>
      </c>
      <c r="C2737" s="1290" t="s">
        <v>1226</v>
      </c>
      <c r="D2737" s="1291"/>
      <c r="E2737" s="392" t="s">
        <v>3</v>
      </c>
      <c r="F2737" s="393" t="s">
        <v>40</v>
      </c>
      <c r="G2737" s="529" t="s">
        <v>2</v>
      </c>
      <c r="H2737" s="562">
        <v>1</v>
      </c>
      <c r="I2737" s="392" t="s">
        <v>5</v>
      </c>
      <c r="J2737" s="1207" t="s">
        <v>186</v>
      </c>
      <c r="K2737" s="1207"/>
      <c r="L2737" s="1208"/>
      <c r="M2737" s="50"/>
      <c r="N2737" s="50"/>
      <c r="U2737" s="396"/>
      <c r="V2737" s="396"/>
      <c r="W2737" s="396"/>
    </row>
    <row r="2738" spans="1:23" ht="30" customHeight="1" x14ac:dyDescent="0.35">
      <c r="A2738" s="494" t="s">
        <v>187</v>
      </c>
      <c r="B2738" s="1280" t="s">
        <v>211</v>
      </c>
      <c r="C2738" s="1281"/>
      <c r="D2738" s="1282"/>
      <c r="E2738" s="566" t="s">
        <v>52</v>
      </c>
      <c r="F2738" s="566" t="s">
        <v>53</v>
      </c>
      <c r="G2738" s="1219" t="s">
        <v>54</v>
      </c>
      <c r="H2738" s="1220"/>
      <c r="I2738" s="185" t="s">
        <v>188</v>
      </c>
      <c r="J2738" s="185"/>
      <c r="K2738" s="1209" t="s">
        <v>180</v>
      </c>
      <c r="L2738" s="1210"/>
      <c r="M2738" s="50"/>
      <c r="N2738" s="50"/>
      <c r="O2738" s="5"/>
      <c r="T2738" s="10"/>
      <c r="U2738" s="396"/>
      <c r="V2738" s="396"/>
      <c r="W2738" s="396"/>
    </row>
    <row r="2739" spans="1:23" ht="30" customHeight="1" x14ac:dyDescent="0.35">
      <c r="A2739" s="985" t="s">
        <v>341</v>
      </c>
      <c r="B2739" s="1212" t="s">
        <v>1227</v>
      </c>
      <c r="C2739" s="1213"/>
      <c r="D2739" s="1214"/>
      <c r="E2739" s="194">
        <f>+(3475+7650)/2</f>
        <v>5562.5</v>
      </c>
      <c r="F2739" s="186" t="s">
        <v>40</v>
      </c>
      <c r="G2739" s="186"/>
      <c r="H2739" s="186"/>
      <c r="I2739" s="186">
        <v>1.23</v>
      </c>
      <c r="J2739" s="998"/>
      <c r="K2739" s="194">
        <f>+E2739*I2739</f>
        <v>6841.875</v>
      </c>
      <c r="L2739" s="186" t="s">
        <v>40</v>
      </c>
      <c r="M2739" s="50"/>
      <c r="N2739" s="50"/>
    </row>
    <row r="2740" spans="1:23" ht="30" customHeight="1" x14ac:dyDescent="0.35">
      <c r="A2740" s="985" t="s">
        <v>1228</v>
      </c>
      <c r="B2740" s="1212" t="s">
        <v>1229</v>
      </c>
      <c r="C2740" s="1213"/>
      <c r="D2740" s="1214"/>
      <c r="E2740" s="193">
        <f>+((62.5+69.5)/2)*75</f>
        <v>4950</v>
      </c>
      <c r="F2740" s="186" t="s">
        <v>40</v>
      </c>
      <c r="G2740" s="711"/>
      <c r="H2740" s="534"/>
      <c r="I2740" s="186">
        <v>1.23</v>
      </c>
      <c r="J2740" s="998"/>
      <c r="K2740" s="194">
        <f>+E2740*I2740</f>
        <v>6088.5</v>
      </c>
      <c r="L2740" s="186" t="s">
        <v>40</v>
      </c>
      <c r="M2740" s="50"/>
      <c r="N2740" s="50"/>
      <c r="O2740" s="5"/>
      <c r="T2740" s="10"/>
      <c r="U2740" s="396"/>
      <c r="V2740" s="396"/>
      <c r="W2740" s="396"/>
    </row>
    <row r="2741" spans="1:23" ht="30" customHeight="1" x14ac:dyDescent="0.35">
      <c r="A2741" s="985" t="s">
        <v>1230</v>
      </c>
      <c r="B2741" s="1212" t="s">
        <v>1231</v>
      </c>
      <c r="C2741" s="1213"/>
      <c r="D2741" s="1214"/>
      <c r="E2741" s="193">
        <f>((95+147)/2) *2*15</f>
        <v>3630</v>
      </c>
      <c r="F2741" s="186" t="s">
        <v>40</v>
      </c>
      <c r="G2741" s="711"/>
      <c r="H2741" s="534"/>
      <c r="I2741" s="186">
        <v>1.24</v>
      </c>
      <c r="J2741" s="998"/>
      <c r="K2741" s="194">
        <f>E2741*I2741</f>
        <v>4501.2</v>
      </c>
      <c r="L2741" s="186"/>
      <c r="M2741" s="50"/>
      <c r="N2741" s="50"/>
      <c r="O2741" s="5"/>
      <c r="P2741" s="384"/>
      <c r="Q2741" s="396"/>
      <c r="R2741" s="396"/>
      <c r="S2741" s="396"/>
      <c r="T2741" s="396"/>
    </row>
    <row r="2742" spans="1:23" ht="30" customHeight="1" x14ac:dyDescent="0.35">
      <c r="A2742" s="985"/>
      <c r="B2742" s="552"/>
      <c r="C2742" s="553"/>
      <c r="D2742" s="554"/>
      <c r="E2742" s="11"/>
      <c r="F2742" s="186"/>
      <c r="G2742" s="711"/>
      <c r="H2742" s="534"/>
      <c r="I2742" s="1491" t="s">
        <v>1232</v>
      </c>
      <c r="J2742" s="1414"/>
      <c r="K2742" s="194">
        <f>+K2740+K2741</f>
        <v>10589.7</v>
      </c>
      <c r="L2742" s="186"/>
      <c r="M2742" s="50"/>
      <c r="N2742" s="50"/>
      <c r="O2742" s="5"/>
      <c r="P2742" s="384"/>
      <c r="Q2742" s="396"/>
      <c r="R2742" s="396"/>
      <c r="S2742" s="396"/>
      <c r="T2742" s="396"/>
    </row>
    <row r="2743" spans="1:23" ht="30" customHeight="1" x14ac:dyDescent="0.35">
      <c r="A2743" s="186"/>
      <c r="B2743" s="1264"/>
      <c r="C2743" s="1264"/>
      <c r="D2743" s="1264"/>
      <c r="E2743" s="194"/>
      <c r="F2743" s="186"/>
      <c r="G2743" s="503"/>
      <c r="H2743" s="534"/>
      <c r="I2743" s="1491" t="s">
        <v>1233</v>
      </c>
      <c r="J2743" s="1414"/>
      <c r="K2743" s="194">
        <f>(+K2742+K2739)/2</f>
        <v>8715.7875000000004</v>
      </c>
      <c r="L2743" s="186" t="s">
        <v>40</v>
      </c>
      <c r="N2743" s="50"/>
      <c r="O2743" s="396"/>
      <c r="P2743" s="384"/>
      <c r="Q2743" s="396"/>
      <c r="R2743" s="396"/>
      <c r="S2743" s="396"/>
      <c r="T2743" s="396"/>
    </row>
    <row r="2744" spans="1:23" ht="30" customHeight="1" x14ac:dyDescent="0.35">
      <c r="A2744" s="186"/>
      <c r="B2744" s="567"/>
      <c r="C2744" s="567"/>
      <c r="D2744" s="567"/>
      <c r="E2744" s="194"/>
      <c r="F2744" s="1215" t="s">
        <v>195</v>
      </c>
      <c r="G2744" s="1273" t="s">
        <v>196</v>
      </c>
      <c r="H2744" s="1273"/>
      <c r="I2744" s="1273"/>
      <c r="J2744" s="1273"/>
      <c r="K2744" s="196">
        <v>1.06</v>
      </c>
      <c r="L2744" s="186"/>
      <c r="M2744" s="50"/>
      <c r="N2744" s="50"/>
    </row>
    <row r="2745" spans="1:23" ht="30" customHeight="1" x14ac:dyDescent="0.35">
      <c r="A2745" s="186"/>
      <c r="B2745" s="567"/>
      <c r="C2745" s="567"/>
      <c r="D2745" s="567"/>
      <c r="E2745" s="194"/>
      <c r="F2745" s="1216"/>
      <c r="G2745" s="1268" t="s">
        <v>197</v>
      </c>
      <c r="H2745" s="1268"/>
      <c r="I2745" s="1268"/>
      <c r="J2745" s="1268"/>
      <c r="K2745" s="196">
        <v>1.06</v>
      </c>
      <c r="L2745" s="186"/>
      <c r="M2745" s="50"/>
      <c r="N2745" s="50"/>
    </row>
    <row r="2746" spans="1:23" ht="30" customHeight="1" x14ac:dyDescent="0.35">
      <c r="A2746" s="186"/>
      <c r="B2746" s="186"/>
      <c r="C2746" s="503"/>
      <c r="D2746" s="503"/>
      <c r="E2746" s="503"/>
      <c r="F2746" s="503"/>
      <c r="G2746" s="503"/>
      <c r="H2746" s="503"/>
      <c r="I2746" s="503"/>
      <c r="J2746" s="186" t="s">
        <v>37</v>
      </c>
      <c r="K2746" s="193">
        <f>+K2743*K2744/K2745</f>
        <v>8715.7875000000004</v>
      </c>
      <c r="L2746" s="186" t="s">
        <v>40</v>
      </c>
      <c r="M2746" s="50"/>
      <c r="N2746" s="50"/>
      <c r="P2746" s="9"/>
      <c r="Q2746" s="34"/>
      <c r="R2746" s="5"/>
      <c r="S2746" s="35"/>
    </row>
    <row r="2747" spans="1:23" ht="30" customHeight="1" x14ac:dyDescent="0.35">
      <c r="A2747" s="186"/>
      <c r="B2747" s="186"/>
      <c r="C2747" s="503"/>
      <c r="D2747" s="503"/>
      <c r="E2747" s="503"/>
      <c r="F2747" s="503"/>
      <c r="G2747" s="1374" t="s">
        <v>257</v>
      </c>
      <c r="H2747" s="1375"/>
      <c r="I2747" s="1376"/>
      <c r="J2747" s="560">
        <f>VLOOKUP(B2737,'Mil Cost Premiums for PUCs'!$A$4:$R$285,18,FALSE)</f>
        <v>1.0209999999999999</v>
      </c>
      <c r="K2747" s="193">
        <f>+K2746*J2747</f>
        <v>8898.8190374999995</v>
      </c>
      <c r="L2747" s="186" t="s">
        <v>40</v>
      </c>
      <c r="M2747" s="50"/>
      <c r="N2747" s="50"/>
      <c r="O2747" s="572"/>
      <c r="P2747" s="9"/>
      <c r="Q2747" s="34"/>
      <c r="R2747" s="5"/>
      <c r="S2747" s="35"/>
    </row>
    <row r="2748" spans="1:23" ht="30" customHeight="1" x14ac:dyDescent="0.35">
      <c r="A2748" s="569"/>
      <c r="B2748" s="569"/>
      <c r="C2748" s="510"/>
      <c r="D2748" s="510"/>
      <c r="E2748" s="510"/>
      <c r="F2748" s="510"/>
      <c r="G2748" s="1191" t="s">
        <v>2817</v>
      </c>
      <c r="H2748" s="1192"/>
      <c r="I2748" s="1193"/>
      <c r="J2748" s="570">
        <v>1.1214</v>
      </c>
      <c r="K2748" s="285">
        <f>+K2747*J2748</f>
        <v>9979.1356686524996</v>
      </c>
      <c r="L2748" s="186" t="s">
        <v>40</v>
      </c>
      <c r="M2748" s="50"/>
      <c r="N2748" s="50"/>
      <c r="O2748" s="5"/>
      <c r="P2748" s="9"/>
      <c r="Q2748" s="34"/>
      <c r="R2748" s="5"/>
      <c r="S2748" s="35"/>
    </row>
    <row r="2749" spans="1:23" ht="30" customHeight="1" thickBot="1" x14ac:dyDescent="0.4">
      <c r="A2749" s="569"/>
      <c r="B2749" s="569"/>
      <c r="C2749" s="510"/>
      <c r="D2749" s="510"/>
      <c r="E2749" s="510"/>
      <c r="F2749" s="510"/>
      <c r="G2749" s="1191" t="s">
        <v>3000</v>
      </c>
      <c r="H2749" s="1192"/>
      <c r="I2749" s="1193"/>
      <c r="J2749" s="570">
        <v>1.0438745311870361</v>
      </c>
      <c r="K2749" s="285">
        <f>+K2748*J2749</f>
        <v>10416.965567766458</v>
      </c>
      <c r="L2749" s="186" t="s">
        <v>40</v>
      </c>
      <c r="M2749" s="50"/>
      <c r="N2749" s="50"/>
      <c r="P2749" s="9"/>
      <c r="Q2749" s="34"/>
      <c r="R2749" s="5"/>
      <c r="S2749" s="35"/>
    </row>
    <row r="2750" spans="1:23" ht="30" customHeight="1" thickBot="1" x14ac:dyDescent="0.4">
      <c r="A2750" s="1199"/>
      <c r="B2750" s="1200"/>
      <c r="C2750" s="1200"/>
      <c r="D2750" s="1200"/>
      <c r="E2750" s="1200"/>
      <c r="F2750" s="1200"/>
      <c r="G2750" s="1200"/>
      <c r="H2750" s="1200"/>
      <c r="I2750" s="1200"/>
      <c r="J2750" s="1200"/>
      <c r="K2750" s="1200"/>
      <c r="L2750" s="1201"/>
      <c r="M2750" s="50"/>
      <c r="N2750" s="50"/>
      <c r="O2750" s="14"/>
      <c r="P2750" s="9"/>
      <c r="Q2750" s="34"/>
      <c r="R2750" s="5"/>
      <c r="S2750" s="35"/>
    </row>
    <row r="2751" spans="1:23" ht="30" customHeight="1" x14ac:dyDescent="0.35">
      <c r="A2751" s="388" t="s">
        <v>1</v>
      </c>
      <c r="B2751" s="389">
        <v>7110</v>
      </c>
      <c r="C2751" s="1290" t="s">
        <v>1234</v>
      </c>
      <c r="D2751" s="1291"/>
      <c r="E2751" s="392" t="s">
        <v>3</v>
      </c>
      <c r="F2751" s="393" t="s">
        <v>108</v>
      </c>
      <c r="G2751" s="390" t="s">
        <v>38</v>
      </c>
      <c r="H2751" s="135">
        <v>3340.3309124474199</v>
      </c>
      <c r="I2751" s="392" t="s">
        <v>5</v>
      </c>
      <c r="J2751" s="1207" t="s">
        <v>2538</v>
      </c>
      <c r="K2751" s="1207"/>
      <c r="L2751" s="1208"/>
      <c r="M2751" s="50"/>
      <c r="N2751" s="50"/>
    </row>
    <row r="2752" spans="1:23" ht="30" customHeight="1" x14ac:dyDescent="0.35">
      <c r="A2752" s="185" t="s">
        <v>177</v>
      </c>
      <c r="B2752" s="1272" t="s">
        <v>7</v>
      </c>
      <c r="C2752" s="1272"/>
      <c r="D2752" s="1272"/>
      <c r="E2752" s="492" t="s">
        <v>178</v>
      </c>
      <c r="F2752" s="397" t="s">
        <v>52</v>
      </c>
      <c r="G2752" s="185"/>
      <c r="H2752" s="185"/>
      <c r="I2752" s="1221" t="s">
        <v>179</v>
      </c>
      <c r="J2752" s="1222"/>
      <c r="K2752" s="1209" t="s">
        <v>180</v>
      </c>
      <c r="L2752" s="1210"/>
      <c r="M2752" s="50"/>
      <c r="N2752" s="50"/>
      <c r="P2752" s="9"/>
      <c r="Q2752" s="34"/>
      <c r="R2752" s="5"/>
      <c r="S2752" s="35"/>
    </row>
    <row r="2753" spans="1:19" ht="30" customHeight="1" x14ac:dyDescent="0.35">
      <c r="A2753" s="186">
        <v>71111</v>
      </c>
      <c r="B2753" s="1202" t="s">
        <v>2579</v>
      </c>
      <c r="C2753" s="1203"/>
      <c r="D2753" s="1204"/>
      <c r="E2753" s="203">
        <v>3330</v>
      </c>
      <c r="F2753" s="194">
        <v>370.96</v>
      </c>
      <c r="G2753" s="728"/>
      <c r="H2753" s="525"/>
      <c r="I2753" s="1307">
        <f>+'FY2024 MILCON Inflation Table'!F22</f>
        <v>0.95834826759383673</v>
      </c>
      <c r="J2753" s="1308"/>
      <c r="K2753" s="212">
        <f t="shared" ref="K2753:K2759" si="60">+F2753*I2753</f>
        <v>355.50887334660968</v>
      </c>
      <c r="L2753" s="186" t="s">
        <v>108</v>
      </c>
      <c r="M2753" s="50"/>
      <c r="N2753" s="50"/>
      <c r="P2753" s="9"/>
      <c r="Q2753" s="34"/>
      <c r="R2753" s="5"/>
      <c r="S2753" s="35"/>
    </row>
    <row r="2754" spans="1:19" ht="30" customHeight="1" x14ac:dyDescent="0.35">
      <c r="A2754" s="186">
        <v>71112</v>
      </c>
      <c r="B2754" s="1202" t="s">
        <v>1235</v>
      </c>
      <c r="C2754" s="1203"/>
      <c r="D2754" s="1204"/>
      <c r="E2754" s="203">
        <v>2520</v>
      </c>
      <c r="F2754" s="194">
        <v>302.97000000000003</v>
      </c>
      <c r="G2754" s="728"/>
      <c r="H2754" s="525"/>
      <c r="I2754" s="1307">
        <f>+I2753</f>
        <v>0.95834826759383673</v>
      </c>
      <c r="J2754" s="1308"/>
      <c r="K2754" s="212">
        <f t="shared" si="60"/>
        <v>290.35077463290474</v>
      </c>
      <c r="L2754" s="186" t="s">
        <v>108</v>
      </c>
      <c r="M2754" s="50"/>
      <c r="N2754" s="50"/>
      <c r="P2754" s="9"/>
      <c r="Q2754" s="34"/>
      <c r="R2754" s="5"/>
      <c r="S2754" s="35"/>
    </row>
    <row r="2755" spans="1:19" ht="30" customHeight="1" x14ac:dyDescent="0.35">
      <c r="A2755" s="186">
        <v>71113</v>
      </c>
      <c r="B2755" s="1212" t="s">
        <v>2580</v>
      </c>
      <c r="C2755" s="1213"/>
      <c r="D2755" s="1214"/>
      <c r="E2755" s="203">
        <v>2310</v>
      </c>
      <c r="F2755" s="194">
        <v>285.73</v>
      </c>
      <c r="G2755" s="728"/>
      <c r="H2755" s="525"/>
      <c r="I2755" s="1307">
        <f>+I2753</f>
        <v>0.95834826759383673</v>
      </c>
      <c r="J2755" s="1308"/>
      <c r="K2755" s="212">
        <f t="shared" si="60"/>
        <v>273.82885049958696</v>
      </c>
      <c r="L2755" s="186" t="s">
        <v>108</v>
      </c>
      <c r="M2755" s="50"/>
      <c r="N2755" s="50"/>
      <c r="P2755" s="9"/>
      <c r="Q2755" s="34"/>
      <c r="R2755" s="5"/>
      <c r="S2755" s="35"/>
    </row>
    <row r="2756" spans="1:19" ht="30" customHeight="1" x14ac:dyDescent="0.35">
      <c r="A2756" s="186">
        <v>71114</v>
      </c>
      <c r="B2756" s="1212" t="s">
        <v>2581</v>
      </c>
      <c r="C2756" s="1213"/>
      <c r="D2756" s="1214"/>
      <c r="E2756" s="203">
        <v>2150</v>
      </c>
      <c r="F2756" s="194">
        <v>258.64</v>
      </c>
      <c r="G2756" s="728"/>
      <c r="H2756" s="525"/>
      <c r="I2756" s="1307">
        <f>+I2753</f>
        <v>0.95834826759383673</v>
      </c>
      <c r="J2756" s="1308"/>
      <c r="K2756" s="212">
        <f t="shared" si="60"/>
        <v>247.86719593046993</v>
      </c>
      <c r="L2756" s="186" t="s">
        <v>108</v>
      </c>
      <c r="M2756" s="50"/>
      <c r="N2756" s="50"/>
      <c r="O2756" s="572"/>
      <c r="P2756" s="9"/>
      <c r="Q2756" s="34"/>
      <c r="R2756" s="5"/>
      <c r="S2756" s="35"/>
    </row>
    <row r="2757" spans="1:19" ht="30" customHeight="1" x14ac:dyDescent="0.35">
      <c r="A2757" s="186">
        <v>71115</v>
      </c>
      <c r="B2757" s="1202" t="s">
        <v>1236</v>
      </c>
      <c r="C2757" s="1203"/>
      <c r="D2757" s="1204"/>
      <c r="E2757" s="203">
        <v>2020</v>
      </c>
      <c r="F2757" s="194">
        <v>300.51</v>
      </c>
      <c r="G2757" s="728"/>
      <c r="H2757" s="525"/>
      <c r="I2757" s="1307">
        <f>+I2753</f>
        <v>0.95834826759383673</v>
      </c>
      <c r="J2757" s="1308"/>
      <c r="K2757" s="212">
        <f t="shared" si="60"/>
        <v>287.99323789462386</v>
      </c>
      <c r="L2757" s="186" t="s">
        <v>108</v>
      </c>
      <c r="M2757" s="50"/>
      <c r="N2757" s="50"/>
      <c r="P2757" s="9"/>
      <c r="Q2757" s="34"/>
      <c r="R2757" s="5"/>
      <c r="S2757" s="35"/>
    </row>
    <row r="2758" spans="1:19" ht="30" customHeight="1" x14ac:dyDescent="0.35">
      <c r="A2758" s="186">
        <v>71115</v>
      </c>
      <c r="B2758" s="1202" t="s">
        <v>1237</v>
      </c>
      <c r="C2758" s="1203"/>
      <c r="D2758" s="1204"/>
      <c r="E2758" s="203">
        <v>1860</v>
      </c>
      <c r="F2758" s="194">
        <v>262.33</v>
      </c>
      <c r="G2758" s="728"/>
      <c r="H2758" s="525"/>
      <c r="I2758" s="1307">
        <f>+I2753</f>
        <v>0.95834826759383673</v>
      </c>
      <c r="J2758" s="1308"/>
      <c r="K2758" s="212">
        <f t="shared" si="60"/>
        <v>251.40350103789117</v>
      </c>
      <c r="L2758" s="186" t="s">
        <v>108</v>
      </c>
      <c r="M2758" s="50"/>
      <c r="N2758" s="50"/>
      <c r="P2758" s="9"/>
      <c r="Q2758" s="34"/>
      <c r="R2758" s="5"/>
      <c r="S2758" s="35"/>
    </row>
    <row r="2759" spans="1:19" ht="30" customHeight="1" x14ac:dyDescent="0.35">
      <c r="A2759" s="186">
        <v>71116</v>
      </c>
      <c r="B2759" s="1202" t="s">
        <v>1238</v>
      </c>
      <c r="C2759" s="1203"/>
      <c r="D2759" s="1204"/>
      <c r="E2759" s="203">
        <v>1950</v>
      </c>
      <c r="F2759" s="194">
        <v>264.79000000000002</v>
      </c>
      <c r="G2759" s="728"/>
      <c r="H2759" s="525"/>
      <c r="I2759" s="1307">
        <f>+I2753</f>
        <v>0.95834826759383673</v>
      </c>
      <c r="J2759" s="1308"/>
      <c r="K2759" s="212">
        <f t="shared" si="60"/>
        <v>253.76103777617206</v>
      </c>
      <c r="L2759" s="186" t="s">
        <v>108</v>
      </c>
      <c r="M2759" s="50"/>
      <c r="N2759" s="50"/>
      <c r="O2759" s="5"/>
      <c r="P2759" s="9"/>
      <c r="Q2759" s="34"/>
      <c r="R2759" s="5"/>
      <c r="S2759" s="35"/>
    </row>
    <row r="2760" spans="1:19" ht="30" customHeight="1" thickBot="1" x14ac:dyDescent="0.4">
      <c r="A2760" s="186"/>
      <c r="B2760" s="373"/>
      <c r="C2760" s="374"/>
      <c r="D2760" s="375" t="s">
        <v>1239</v>
      </c>
      <c r="E2760" s="652">
        <f>AVERAGE(E2753:E2759)</f>
        <v>2305.7142857142858</v>
      </c>
      <c r="F2760" s="653"/>
      <c r="G2760" s="653"/>
      <c r="H2760" s="654"/>
      <c r="I2760" s="503" t="s">
        <v>192</v>
      </c>
      <c r="J2760" s="494" t="s">
        <v>37</v>
      </c>
      <c r="K2760" s="193">
        <f>AVERAGE(K2753:K2759)</f>
        <v>280.1019244454655</v>
      </c>
      <c r="L2760" s="186" t="s">
        <v>108</v>
      </c>
      <c r="M2760" s="50"/>
      <c r="N2760" s="50"/>
      <c r="O2760" s="5"/>
      <c r="P2760" s="9"/>
      <c r="Q2760" s="34"/>
      <c r="R2760" s="5"/>
      <c r="S2760" s="35"/>
    </row>
    <row r="2761" spans="1:19" ht="30" customHeight="1" thickBot="1" x14ac:dyDescent="0.4">
      <c r="A2761" s="1199"/>
      <c r="B2761" s="1200"/>
      <c r="C2761" s="1200"/>
      <c r="D2761" s="1200"/>
      <c r="E2761" s="1200"/>
      <c r="F2761" s="1200"/>
      <c r="G2761" s="1200"/>
      <c r="H2761" s="1200"/>
      <c r="I2761" s="1200"/>
      <c r="J2761" s="1200"/>
      <c r="K2761" s="1200"/>
      <c r="L2761" s="1201"/>
      <c r="M2761" s="50"/>
      <c r="N2761" s="50"/>
      <c r="O2761" s="5"/>
      <c r="P2761" s="9"/>
      <c r="Q2761" s="34"/>
      <c r="R2761" s="5"/>
      <c r="S2761" s="35"/>
    </row>
    <row r="2762" spans="1:19" ht="30" customHeight="1" x14ac:dyDescent="0.35">
      <c r="A2762" s="388" t="s">
        <v>1</v>
      </c>
      <c r="B2762" s="389">
        <v>7113</v>
      </c>
      <c r="C2762" s="1205" t="s">
        <v>1240</v>
      </c>
      <c r="D2762" s="1206"/>
      <c r="E2762" s="392" t="s">
        <v>3</v>
      </c>
      <c r="F2762" s="393" t="s">
        <v>108</v>
      </c>
      <c r="G2762" s="520" t="s">
        <v>38</v>
      </c>
      <c r="H2762" s="660">
        <v>140404.03571428501</v>
      </c>
      <c r="I2762" s="392" t="s">
        <v>5</v>
      </c>
      <c r="J2762" s="1207" t="s">
        <v>2861</v>
      </c>
      <c r="K2762" s="1207"/>
      <c r="L2762" s="1208"/>
      <c r="M2762" s="50"/>
      <c r="N2762" s="50"/>
      <c r="O2762" s="539"/>
      <c r="P2762" s="9"/>
      <c r="Q2762" s="34"/>
      <c r="R2762" s="5"/>
      <c r="S2762" s="35"/>
    </row>
    <row r="2763" spans="1:19" ht="30" customHeight="1" x14ac:dyDescent="0.35">
      <c r="A2763" s="185"/>
      <c r="B2763" s="1272" t="s">
        <v>7</v>
      </c>
      <c r="C2763" s="1272"/>
      <c r="D2763" s="1272"/>
      <c r="E2763" s="185" t="s">
        <v>178</v>
      </c>
      <c r="F2763" s="185" t="s">
        <v>52</v>
      </c>
      <c r="G2763" s="1221"/>
      <c r="H2763" s="1222"/>
      <c r="I2763" s="1223" t="s">
        <v>56</v>
      </c>
      <c r="J2763" s="1224"/>
      <c r="K2763" s="1209" t="s">
        <v>180</v>
      </c>
      <c r="L2763" s="1210"/>
      <c r="M2763" s="50"/>
      <c r="N2763" s="50"/>
      <c r="O2763" s="539"/>
      <c r="P2763" s="9"/>
      <c r="Q2763" s="34"/>
      <c r="R2763" s="5"/>
      <c r="S2763" s="35"/>
    </row>
    <row r="2764" spans="1:19" ht="30" customHeight="1" x14ac:dyDescent="0.35">
      <c r="A2764" s="407" t="s">
        <v>181</v>
      </c>
      <c r="B2764" s="1265" t="s">
        <v>1241</v>
      </c>
      <c r="C2764" s="1265"/>
      <c r="D2764" s="1265"/>
      <c r="E2764" s="498">
        <v>41000</v>
      </c>
      <c r="F2764" s="187">
        <v>296</v>
      </c>
      <c r="G2764" s="1509"/>
      <c r="H2764" s="1510"/>
      <c r="I2764" s="1217" t="s">
        <v>2860</v>
      </c>
      <c r="J2764" s="1218"/>
      <c r="K2764" s="994">
        <f>F2764</f>
        <v>296</v>
      </c>
      <c r="L2764" s="407" t="s">
        <v>108</v>
      </c>
      <c r="M2764" s="50"/>
      <c r="N2764" s="50"/>
      <c r="O2764" s="539"/>
      <c r="P2764" s="9"/>
      <c r="Q2764" s="34"/>
      <c r="R2764" s="5"/>
      <c r="S2764" s="35"/>
    </row>
    <row r="2765" spans="1:19" ht="30" customHeight="1" thickBot="1" x14ac:dyDescent="0.4">
      <c r="A2765" s="186"/>
      <c r="B2765" s="1264"/>
      <c r="C2765" s="1264"/>
      <c r="D2765" s="1264"/>
      <c r="E2765" s="535"/>
      <c r="F2765" s="536"/>
      <c r="G2765" s="536"/>
      <c r="H2765" s="537"/>
      <c r="I2765" s="503"/>
      <c r="J2765" s="494" t="s">
        <v>37</v>
      </c>
      <c r="K2765" s="193">
        <f>+K2764</f>
        <v>296</v>
      </c>
      <c r="L2765" s="186" t="s">
        <v>108</v>
      </c>
      <c r="M2765" s="50"/>
      <c r="N2765" s="50"/>
      <c r="O2765" s="539"/>
      <c r="P2765" s="9"/>
      <c r="Q2765" s="34"/>
      <c r="R2765" s="5"/>
      <c r="S2765" s="35"/>
    </row>
    <row r="2766" spans="1:19" ht="30" customHeight="1" thickBot="1" x14ac:dyDescent="0.4">
      <c r="A2766" s="1199"/>
      <c r="B2766" s="1200"/>
      <c r="C2766" s="1200"/>
      <c r="D2766" s="1200"/>
      <c r="E2766" s="1200"/>
      <c r="F2766" s="1200"/>
      <c r="G2766" s="1200"/>
      <c r="H2766" s="1200"/>
      <c r="I2766" s="1200"/>
      <c r="J2766" s="1200"/>
      <c r="K2766" s="1200"/>
      <c r="L2766" s="1201"/>
      <c r="M2766" s="50"/>
      <c r="O2766" s="5"/>
      <c r="P2766" s="9"/>
      <c r="Q2766" s="34"/>
      <c r="R2766" s="5"/>
      <c r="S2766" s="35"/>
    </row>
    <row r="2767" spans="1:19" ht="30" customHeight="1" x14ac:dyDescent="0.35">
      <c r="A2767" s="388" t="s">
        <v>1</v>
      </c>
      <c r="B2767" s="389">
        <v>7130</v>
      </c>
      <c r="C2767" s="1205" t="s">
        <v>1242</v>
      </c>
      <c r="D2767" s="1206"/>
      <c r="E2767" s="392" t="s">
        <v>3</v>
      </c>
      <c r="F2767" s="393" t="s">
        <v>4</v>
      </c>
      <c r="G2767" s="520" t="s">
        <v>2</v>
      </c>
      <c r="H2767" s="660">
        <v>356</v>
      </c>
      <c r="I2767" s="392" t="s">
        <v>5</v>
      </c>
      <c r="J2767" s="1207" t="s">
        <v>186</v>
      </c>
      <c r="K2767" s="1207"/>
      <c r="L2767" s="1208"/>
      <c r="M2767" s="50"/>
      <c r="N2767" s="50"/>
      <c r="O2767" s="5"/>
      <c r="P2767" s="9"/>
      <c r="Q2767" s="34"/>
      <c r="R2767" s="5"/>
      <c r="S2767" s="35"/>
    </row>
    <row r="2768" spans="1:19" ht="30" customHeight="1" x14ac:dyDescent="0.35">
      <c r="A2768" s="494" t="s">
        <v>187</v>
      </c>
      <c r="B2768" s="1280" t="s">
        <v>211</v>
      </c>
      <c r="C2768" s="1281"/>
      <c r="D2768" s="1282"/>
      <c r="E2768" s="566" t="s">
        <v>52</v>
      </c>
      <c r="F2768" s="566" t="s">
        <v>53</v>
      </c>
      <c r="G2768" s="1219" t="s">
        <v>54</v>
      </c>
      <c r="H2768" s="1220"/>
      <c r="I2768" s="185" t="s">
        <v>188</v>
      </c>
      <c r="J2768" s="185" t="s">
        <v>1243</v>
      </c>
      <c r="K2768" s="1209" t="s">
        <v>180</v>
      </c>
      <c r="L2768" s="1210"/>
      <c r="M2768" s="50"/>
      <c r="N2768" s="50"/>
      <c r="O2768" s="5"/>
      <c r="P2768" s="9"/>
      <c r="Q2768" s="34"/>
      <c r="R2768" s="5"/>
      <c r="S2768" s="35"/>
    </row>
    <row r="2769" spans="1:26" ht="30" customHeight="1" x14ac:dyDescent="0.35">
      <c r="A2769" s="186" t="s">
        <v>1244</v>
      </c>
      <c r="B2769" s="1212" t="s">
        <v>1245</v>
      </c>
      <c r="C2769" s="1213"/>
      <c r="D2769" s="1214"/>
      <c r="E2769" s="194">
        <v>12200</v>
      </c>
      <c r="F2769" s="422" t="s">
        <v>1246</v>
      </c>
      <c r="G2769" s="1003">
        <f>3200/9</f>
        <v>355.55555555555554</v>
      </c>
      <c r="H2769" s="708" t="s">
        <v>1247</v>
      </c>
      <c r="I2769" s="204">
        <v>1.17</v>
      </c>
      <c r="J2769" s="204">
        <v>1.1000000000000001</v>
      </c>
      <c r="K2769" s="194">
        <f>+E2769/G2769*I2769*J2769</f>
        <v>44.160187499999999</v>
      </c>
      <c r="L2769" s="186" t="s">
        <v>4</v>
      </c>
      <c r="M2769" s="50"/>
      <c r="N2769" s="50"/>
      <c r="O2769" s="5"/>
      <c r="P2769" s="9"/>
      <c r="Q2769" s="34"/>
      <c r="R2769" s="5"/>
      <c r="S2769" s="35"/>
    </row>
    <row r="2770" spans="1:26" ht="30" customHeight="1" x14ac:dyDescent="0.35">
      <c r="A2770" s="186"/>
      <c r="B2770" s="1264" t="s">
        <v>1248</v>
      </c>
      <c r="C2770" s="1264"/>
      <c r="D2770" s="1264"/>
      <c r="E2770" s="194"/>
      <c r="F2770" s="186"/>
      <c r="G2770" s="186"/>
      <c r="H2770" s="186"/>
      <c r="I2770" s="186"/>
      <c r="J2770" s="186"/>
      <c r="K2770" s="194"/>
      <c r="L2770" s="186"/>
      <c r="M2770" s="50"/>
      <c r="N2770" s="50"/>
      <c r="O2770" s="5"/>
      <c r="P2770" s="9"/>
      <c r="Q2770" s="34"/>
      <c r="R2770" s="5"/>
      <c r="S2770" s="35"/>
    </row>
    <row r="2771" spans="1:26" ht="30" customHeight="1" x14ac:dyDescent="0.35">
      <c r="A2771" s="186"/>
      <c r="B2771" s="567"/>
      <c r="C2771" s="567"/>
      <c r="D2771" s="567"/>
      <c r="E2771" s="194"/>
      <c r="F2771" s="1215" t="s">
        <v>195</v>
      </c>
      <c r="G2771" s="1273" t="s">
        <v>196</v>
      </c>
      <c r="H2771" s="1273"/>
      <c r="I2771" s="1273"/>
      <c r="J2771" s="1273"/>
      <c r="K2771" s="196">
        <v>1.06</v>
      </c>
      <c r="L2771" s="186"/>
      <c r="M2771" s="50"/>
      <c r="N2771" s="50"/>
      <c r="O2771" s="5"/>
      <c r="P2771" s="9"/>
      <c r="Q2771" s="34"/>
      <c r="R2771" s="5"/>
      <c r="S2771" s="35"/>
    </row>
    <row r="2772" spans="1:26" ht="30" customHeight="1" x14ac:dyDescent="0.35">
      <c r="A2772" s="186"/>
      <c r="B2772" s="567"/>
      <c r="C2772" s="567"/>
      <c r="D2772" s="567"/>
      <c r="E2772" s="194"/>
      <c r="F2772" s="1216"/>
      <c r="G2772" s="1268" t="s">
        <v>197</v>
      </c>
      <c r="H2772" s="1268"/>
      <c r="I2772" s="1268"/>
      <c r="J2772" s="1268"/>
      <c r="K2772" s="196">
        <v>1.06</v>
      </c>
      <c r="L2772" s="186"/>
      <c r="M2772" s="50"/>
      <c r="N2772" s="50"/>
      <c r="P2772" s="9"/>
      <c r="Q2772" s="34"/>
      <c r="R2772" s="5"/>
      <c r="S2772" s="35"/>
    </row>
    <row r="2773" spans="1:26" ht="30" customHeight="1" x14ac:dyDescent="0.35">
      <c r="A2773" s="985"/>
      <c r="B2773" s="186"/>
      <c r="C2773" s="503"/>
      <c r="D2773" s="503"/>
      <c r="E2773" s="194"/>
      <c r="F2773" s="186"/>
      <c r="G2773" s="186"/>
      <c r="H2773" s="186"/>
      <c r="I2773" s="186"/>
      <c r="J2773" s="186" t="s">
        <v>37</v>
      </c>
      <c r="K2773" s="193">
        <f>+K2769*K2771/K2772</f>
        <v>44.160187499999999</v>
      </c>
      <c r="L2773" s="186" t="s">
        <v>4</v>
      </c>
      <c r="M2773" s="50"/>
      <c r="N2773" s="50"/>
    </row>
    <row r="2774" spans="1:26" ht="30" customHeight="1" x14ac:dyDescent="0.35">
      <c r="A2774" s="186"/>
      <c r="B2774" s="186"/>
      <c r="C2774" s="503"/>
      <c r="D2774" s="503"/>
      <c r="E2774" s="503"/>
      <c r="F2774" s="503"/>
      <c r="G2774" s="1374" t="s">
        <v>257</v>
      </c>
      <c r="H2774" s="1375"/>
      <c r="I2774" s="1376"/>
      <c r="J2774" s="560">
        <f>VLOOKUP(B2767,'Mil Cost Premiums for PUCs'!$A$4:$R$285,18,FALSE)</f>
        <v>1.0209999999999999</v>
      </c>
      <c r="K2774" s="193">
        <f>+K2773*J2774</f>
        <v>45.087551437499997</v>
      </c>
      <c r="L2774" s="186" t="s">
        <v>4</v>
      </c>
      <c r="M2774" s="50"/>
      <c r="N2774" s="50"/>
      <c r="P2774" s="9"/>
      <c r="Q2774" s="34"/>
      <c r="R2774" s="5"/>
      <c r="S2774" s="35"/>
    </row>
    <row r="2775" spans="1:26" ht="30" customHeight="1" x14ac:dyDescent="0.35">
      <c r="A2775" s="569"/>
      <c r="B2775" s="569"/>
      <c r="C2775" s="510"/>
      <c r="D2775" s="510"/>
      <c r="E2775" s="510"/>
      <c r="F2775" s="510"/>
      <c r="G2775" s="1191" t="s">
        <v>2817</v>
      </c>
      <c r="H2775" s="1192"/>
      <c r="I2775" s="1193"/>
      <c r="J2775" s="570">
        <v>1.1214</v>
      </c>
      <c r="K2775" s="285">
        <f>+K2774*J2775</f>
        <v>50.561180182012492</v>
      </c>
      <c r="L2775" s="186" t="s">
        <v>4</v>
      </c>
      <c r="M2775" s="50"/>
      <c r="N2775" s="50"/>
      <c r="O2775" s="5"/>
      <c r="P2775" s="9"/>
      <c r="Q2775" s="34"/>
      <c r="R2775" s="5"/>
      <c r="S2775" s="35"/>
    </row>
    <row r="2776" spans="1:26" ht="30" customHeight="1" thickBot="1" x14ac:dyDescent="0.4">
      <c r="A2776" s="569"/>
      <c r="B2776" s="569"/>
      <c r="C2776" s="510"/>
      <c r="D2776" s="510"/>
      <c r="E2776" s="510"/>
      <c r="F2776" s="510"/>
      <c r="G2776" s="1191" t="s">
        <v>3000</v>
      </c>
      <c r="H2776" s="1192"/>
      <c r="I2776" s="1193"/>
      <c r="J2776" s="570">
        <v>1.0438745311870361</v>
      </c>
      <c r="K2776" s="285">
        <f>+K2775*J2776</f>
        <v>52.779528258761552</v>
      </c>
      <c r="L2776" s="186" t="s">
        <v>4</v>
      </c>
      <c r="M2776" s="50"/>
      <c r="N2776" s="50"/>
      <c r="O2776" s="5"/>
      <c r="P2776" s="9"/>
      <c r="Q2776" s="34"/>
      <c r="R2776" s="5"/>
      <c r="S2776" s="35"/>
    </row>
    <row r="2777" spans="1:26" ht="30" customHeight="1" thickBot="1" x14ac:dyDescent="0.4">
      <c r="A2777" s="1199"/>
      <c r="B2777" s="1200"/>
      <c r="C2777" s="1200"/>
      <c r="D2777" s="1200"/>
      <c r="E2777" s="1200"/>
      <c r="F2777" s="1200"/>
      <c r="G2777" s="1200"/>
      <c r="H2777" s="1200"/>
      <c r="I2777" s="1200"/>
      <c r="J2777" s="1200"/>
      <c r="K2777" s="1200"/>
      <c r="L2777" s="1201"/>
      <c r="M2777" s="50"/>
      <c r="N2777" s="50"/>
      <c r="O2777" s="5"/>
      <c r="P2777" s="9"/>
      <c r="Q2777" s="34"/>
      <c r="R2777" s="5"/>
      <c r="S2777" s="35"/>
    </row>
    <row r="2778" spans="1:26" ht="30" customHeight="1" x14ac:dyDescent="0.35">
      <c r="A2778" s="388" t="s">
        <v>1</v>
      </c>
      <c r="B2778" s="389">
        <v>7141</v>
      </c>
      <c r="C2778" s="1205" t="s">
        <v>1249</v>
      </c>
      <c r="D2778" s="1206"/>
      <c r="E2778" s="456" t="s">
        <v>3</v>
      </c>
      <c r="F2778" s="457" t="s">
        <v>108</v>
      </c>
      <c r="G2778" s="390" t="s">
        <v>38</v>
      </c>
      <c r="H2778" s="1004">
        <v>724</v>
      </c>
      <c r="I2778" s="392" t="s">
        <v>5</v>
      </c>
      <c r="J2778" s="1207" t="s">
        <v>186</v>
      </c>
      <c r="K2778" s="1207"/>
      <c r="L2778" s="1208"/>
      <c r="M2778" s="50"/>
      <c r="N2778" s="50"/>
      <c r="O2778" s="5"/>
      <c r="P2778" s="9"/>
      <c r="Q2778" s="34"/>
      <c r="R2778" s="5"/>
      <c r="S2778" s="35"/>
      <c r="X2778" s="396"/>
      <c r="Y2778" s="396"/>
    </row>
    <row r="2779" spans="1:26" ht="30" customHeight="1" x14ac:dyDescent="0.35">
      <c r="A2779" s="494" t="s">
        <v>187</v>
      </c>
      <c r="B2779" s="1280" t="s">
        <v>211</v>
      </c>
      <c r="C2779" s="1281"/>
      <c r="D2779" s="1282"/>
      <c r="E2779" s="566" t="s">
        <v>52</v>
      </c>
      <c r="F2779" s="566" t="s">
        <v>53</v>
      </c>
      <c r="G2779" s="1219" t="s">
        <v>54</v>
      </c>
      <c r="H2779" s="1220"/>
      <c r="I2779" s="185" t="s">
        <v>188</v>
      </c>
      <c r="J2779" s="185"/>
      <c r="K2779" s="1209" t="s">
        <v>180</v>
      </c>
      <c r="L2779" s="1210"/>
      <c r="M2779" s="50"/>
      <c r="N2779" s="50"/>
      <c r="O2779" s="5"/>
      <c r="P2779" s="9"/>
      <c r="Q2779" s="34"/>
      <c r="R2779" s="5"/>
      <c r="S2779" s="35"/>
      <c r="Z2779" s="396"/>
    </row>
    <row r="2780" spans="1:26" ht="30" customHeight="1" x14ac:dyDescent="0.35">
      <c r="A2780" s="985" t="s">
        <v>1250</v>
      </c>
      <c r="B2780" s="1212" t="s">
        <v>1251</v>
      </c>
      <c r="C2780" s="1213"/>
      <c r="D2780" s="1214"/>
      <c r="E2780" s="194">
        <v>37</v>
      </c>
      <c r="F2780" s="186" t="s">
        <v>108</v>
      </c>
      <c r="G2780" s="186"/>
      <c r="H2780" s="186"/>
      <c r="I2780" s="186">
        <v>1.21</v>
      </c>
      <c r="J2780" s="186"/>
      <c r="K2780" s="194">
        <f>+E2780*I2780</f>
        <v>44.769999999999996</v>
      </c>
      <c r="L2780" s="186" t="s">
        <v>108</v>
      </c>
      <c r="M2780" s="50"/>
      <c r="N2780" s="50"/>
      <c r="O2780" s="5"/>
      <c r="P2780" s="9"/>
      <c r="Q2780" s="34"/>
      <c r="R2780" s="5"/>
      <c r="S2780" s="35"/>
    </row>
    <row r="2781" spans="1:26" ht="30" customHeight="1" x14ac:dyDescent="0.35">
      <c r="A2781" s="186"/>
      <c r="B2781" s="567"/>
      <c r="C2781" s="567"/>
      <c r="D2781" s="567"/>
      <c r="E2781" s="194"/>
      <c r="F2781" s="1215" t="s">
        <v>195</v>
      </c>
      <c r="G2781" s="1273" t="s">
        <v>196</v>
      </c>
      <c r="H2781" s="1273"/>
      <c r="I2781" s="1273"/>
      <c r="J2781" s="1273"/>
      <c r="K2781" s="196">
        <v>1.06</v>
      </c>
      <c r="L2781" s="186"/>
      <c r="M2781" s="50"/>
      <c r="N2781" s="50"/>
      <c r="O2781" s="5"/>
      <c r="P2781" s="9"/>
      <c r="Q2781" s="34"/>
      <c r="R2781" s="5"/>
      <c r="S2781" s="35"/>
    </row>
    <row r="2782" spans="1:26" ht="30" customHeight="1" x14ac:dyDescent="0.35">
      <c r="A2782" s="186"/>
      <c r="B2782" s="567"/>
      <c r="C2782" s="567"/>
      <c r="D2782" s="567"/>
      <c r="E2782" s="194"/>
      <c r="F2782" s="1216"/>
      <c r="G2782" s="1268" t="s">
        <v>197</v>
      </c>
      <c r="H2782" s="1268"/>
      <c r="I2782" s="1268"/>
      <c r="J2782" s="1268"/>
      <c r="K2782" s="196">
        <v>1.06</v>
      </c>
      <c r="L2782" s="186"/>
      <c r="M2782" s="50"/>
      <c r="N2782" s="50"/>
      <c r="O2782" s="5"/>
      <c r="P2782" s="9"/>
      <c r="Q2782" s="34"/>
      <c r="R2782" s="5"/>
      <c r="S2782" s="35"/>
    </row>
    <row r="2783" spans="1:26" s="396" customFormat="1" ht="33" customHeight="1" x14ac:dyDescent="0.35">
      <c r="A2783" s="186"/>
      <c r="B2783" s="186"/>
      <c r="C2783" s="503"/>
      <c r="D2783" s="503"/>
      <c r="E2783" s="503"/>
      <c r="F2783" s="503"/>
      <c r="G2783" s="503"/>
      <c r="H2783" s="503"/>
      <c r="I2783" s="503"/>
      <c r="J2783" s="186" t="s">
        <v>37</v>
      </c>
      <c r="K2783" s="193">
        <f>+K2780*K2781/K2782</f>
        <v>44.769999999999996</v>
      </c>
      <c r="L2783" s="186" t="s">
        <v>108</v>
      </c>
      <c r="M2783" s="50"/>
      <c r="N2783" s="50"/>
      <c r="O2783" s="5"/>
      <c r="P2783" s="9"/>
      <c r="Q2783" s="34"/>
      <c r="R2783" s="5"/>
      <c r="S2783" s="35"/>
      <c r="T2783" s="9"/>
      <c r="U2783" s="9"/>
      <c r="V2783" s="9"/>
      <c r="W2783" s="9"/>
      <c r="X2783" s="9"/>
      <c r="Y2783" s="9"/>
      <c r="Z2783" s="9"/>
    </row>
    <row r="2784" spans="1:26" ht="30" customHeight="1" x14ac:dyDescent="0.35">
      <c r="A2784" s="186"/>
      <c r="B2784" s="186"/>
      <c r="C2784" s="503"/>
      <c r="D2784" s="503"/>
      <c r="E2784" s="503"/>
      <c r="F2784" s="503"/>
      <c r="G2784" s="1374" t="s">
        <v>257</v>
      </c>
      <c r="H2784" s="1375"/>
      <c r="I2784" s="1376"/>
      <c r="J2784" s="560">
        <f>VLOOKUP(B2778,'Mil Cost Premiums for PUCs'!$A$4:$R$285,18,FALSE)</f>
        <v>1.0905505199999999</v>
      </c>
      <c r="K2784" s="193">
        <f>+K2783*J2784</f>
        <v>48.823946780399986</v>
      </c>
      <c r="L2784" s="186" t="s">
        <v>108</v>
      </c>
      <c r="M2784" s="50"/>
      <c r="N2784" s="50"/>
      <c r="O2784" s="5"/>
      <c r="P2784" s="9"/>
      <c r="Q2784" s="34"/>
      <c r="R2784" s="5"/>
      <c r="S2784" s="35"/>
      <c r="X2784" s="396"/>
      <c r="Y2784" s="396"/>
    </row>
    <row r="2785" spans="1:26" ht="30" customHeight="1" x14ac:dyDescent="0.35">
      <c r="A2785" s="569"/>
      <c r="B2785" s="569"/>
      <c r="C2785" s="510"/>
      <c r="D2785" s="510"/>
      <c r="E2785" s="510"/>
      <c r="F2785" s="510"/>
      <c r="G2785" s="1191" t="s">
        <v>2817</v>
      </c>
      <c r="H2785" s="1192"/>
      <c r="I2785" s="1193"/>
      <c r="J2785" s="570">
        <v>1.1214</v>
      </c>
      <c r="K2785" s="285">
        <f>+K2784*J2785</f>
        <v>54.751173919540541</v>
      </c>
      <c r="L2785" s="186" t="s">
        <v>108</v>
      </c>
      <c r="M2785" s="50"/>
      <c r="N2785" s="50"/>
      <c r="O2785" s="5"/>
      <c r="P2785" s="9"/>
      <c r="Q2785" s="34"/>
      <c r="R2785" s="5"/>
      <c r="S2785" s="35"/>
      <c r="Z2785" s="396"/>
    </row>
    <row r="2786" spans="1:26" ht="30" customHeight="1" thickBot="1" x14ac:dyDescent="0.4">
      <c r="A2786" s="569"/>
      <c r="B2786" s="569"/>
      <c r="C2786" s="510"/>
      <c r="D2786" s="510"/>
      <c r="E2786" s="510"/>
      <c r="F2786" s="510"/>
      <c r="G2786" s="1191" t="s">
        <v>3000</v>
      </c>
      <c r="H2786" s="1192"/>
      <c r="I2786" s="1193"/>
      <c r="J2786" s="570">
        <v>1.0438745311870361</v>
      </c>
      <c r="K2786" s="285">
        <f>+K2785*J2786</f>
        <v>57.153356007200259</v>
      </c>
      <c r="L2786" s="186" t="s">
        <v>108</v>
      </c>
      <c r="M2786" s="50"/>
      <c r="N2786" s="50"/>
      <c r="O2786" s="5"/>
      <c r="P2786" s="9"/>
      <c r="Q2786" s="34"/>
      <c r="R2786" s="5"/>
      <c r="S2786" s="35"/>
    </row>
    <row r="2787" spans="1:26" ht="30" customHeight="1" thickBot="1" x14ac:dyDescent="0.4">
      <c r="A2787" s="1199"/>
      <c r="B2787" s="1200"/>
      <c r="C2787" s="1200"/>
      <c r="D2787" s="1200"/>
      <c r="E2787" s="1200"/>
      <c r="F2787" s="1200"/>
      <c r="G2787" s="1200"/>
      <c r="H2787" s="1200"/>
      <c r="I2787" s="1200"/>
      <c r="J2787" s="1200"/>
      <c r="K2787" s="1200"/>
      <c r="L2787" s="1201"/>
      <c r="M2787" s="50"/>
      <c r="N2787" s="50"/>
      <c r="O2787" s="5"/>
      <c r="P2787" s="9"/>
      <c r="Q2787" s="34"/>
      <c r="R2787" s="5"/>
      <c r="S2787" s="35"/>
    </row>
    <row r="2788" spans="1:26" s="396" customFormat="1" ht="75" customHeight="1" x14ac:dyDescent="0.35">
      <c r="A2788" s="388" t="s">
        <v>1</v>
      </c>
      <c r="B2788" s="389">
        <v>7142</v>
      </c>
      <c r="C2788" s="1205" t="s">
        <v>1252</v>
      </c>
      <c r="D2788" s="1206"/>
      <c r="E2788" s="392" t="s">
        <v>3</v>
      </c>
      <c r="F2788" s="393" t="s">
        <v>108</v>
      </c>
      <c r="G2788" s="390" t="s">
        <v>38</v>
      </c>
      <c r="H2788" s="562">
        <v>287</v>
      </c>
      <c r="I2788" s="392" t="s">
        <v>5</v>
      </c>
      <c r="J2788" s="1207" t="s">
        <v>186</v>
      </c>
      <c r="K2788" s="1207"/>
      <c r="L2788" s="1208"/>
      <c r="M2788" s="50"/>
      <c r="N2788" s="50"/>
      <c r="O2788" s="5"/>
      <c r="P2788" s="9"/>
      <c r="Q2788" s="34"/>
      <c r="R2788" s="5"/>
      <c r="S2788" s="35"/>
      <c r="T2788" s="9"/>
      <c r="U2788" s="9"/>
      <c r="V2788" s="9"/>
      <c r="W2788" s="9"/>
      <c r="X2788" s="9"/>
      <c r="Y2788" s="9"/>
      <c r="Z2788" s="9"/>
    </row>
    <row r="2789" spans="1:26" ht="30" customHeight="1" x14ac:dyDescent="0.35">
      <c r="A2789" s="494" t="s">
        <v>187</v>
      </c>
      <c r="B2789" s="1280" t="s">
        <v>211</v>
      </c>
      <c r="C2789" s="1281"/>
      <c r="D2789" s="1282"/>
      <c r="E2789" s="566" t="s">
        <v>52</v>
      </c>
      <c r="F2789" s="566" t="s">
        <v>53</v>
      </c>
      <c r="G2789" s="1219" t="s">
        <v>54</v>
      </c>
      <c r="H2789" s="1220"/>
      <c r="I2789" s="185" t="s">
        <v>188</v>
      </c>
      <c r="J2789" s="185"/>
      <c r="K2789" s="1209" t="s">
        <v>180</v>
      </c>
      <c r="L2789" s="1210"/>
      <c r="M2789" s="50"/>
      <c r="N2789" s="50"/>
      <c r="O2789" s="5"/>
      <c r="P2789" s="9"/>
      <c r="Q2789" s="34"/>
      <c r="R2789" s="5"/>
      <c r="S2789" s="35"/>
    </row>
    <row r="2790" spans="1:26" ht="30" customHeight="1" x14ac:dyDescent="0.35">
      <c r="A2790" s="186" t="s">
        <v>1253</v>
      </c>
      <c r="B2790" s="1202" t="s">
        <v>1254</v>
      </c>
      <c r="C2790" s="1203"/>
      <c r="D2790" s="1204"/>
      <c r="E2790" s="194">
        <f>+(13.95+25.25)/2</f>
        <v>19.600000000000001</v>
      </c>
      <c r="F2790" s="422" t="s">
        <v>108</v>
      </c>
      <c r="G2790" s="707"/>
      <c r="H2790" s="708"/>
      <c r="I2790" s="186">
        <v>1.22</v>
      </c>
      <c r="J2790" s="186"/>
      <c r="K2790" s="194">
        <f>+E2790*I2790</f>
        <v>23.912000000000003</v>
      </c>
      <c r="L2790" s="186" t="s">
        <v>108</v>
      </c>
      <c r="M2790" s="50"/>
      <c r="N2790" s="50"/>
      <c r="O2790" s="5"/>
      <c r="P2790" s="9"/>
      <c r="Q2790" s="34"/>
      <c r="R2790" s="5"/>
      <c r="S2790" s="35"/>
    </row>
    <row r="2791" spans="1:26" ht="75" customHeight="1" x14ac:dyDescent="0.35">
      <c r="A2791" s="186" t="s">
        <v>1253</v>
      </c>
      <c r="B2791" s="1202" t="s">
        <v>1255</v>
      </c>
      <c r="C2791" s="1203"/>
      <c r="D2791" s="1203"/>
      <c r="E2791" s="194">
        <v>4.1500000000000004</v>
      </c>
      <c r="F2791" s="127" t="s">
        <v>108</v>
      </c>
      <c r="G2791" s="707"/>
      <c r="H2791" s="708"/>
      <c r="I2791" s="186">
        <v>1.22</v>
      </c>
      <c r="J2791" s="186"/>
      <c r="K2791" s="194">
        <f>+E2791*I2791</f>
        <v>5.0630000000000006</v>
      </c>
      <c r="L2791" s="186" t="s">
        <v>108</v>
      </c>
      <c r="M2791" s="50"/>
      <c r="N2791" s="50"/>
      <c r="O2791" s="5"/>
      <c r="P2791" s="9"/>
      <c r="Q2791" s="34"/>
      <c r="R2791" s="5"/>
      <c r="S2791" s="35"/>
    </row>
    <row r="2792" spans="1:26" ht="30" customHeight="1" x14ac:dyDescent="0.35">
      <c r="A2792" s="985"/>
      <c r="B2792" s="1211"/>
      <c r="C2792" s="1211"/>
      <c r="D2792" s="1211"/>
      <c r="E2792" s="194"/>
      <c r="F2792" s="186"/>
      <c r="G2792" s="186"/>
      <c r="H2792" s="186"/>
      <c r="I2792" s="186"/>
      <c r="J2792" s="186" t="s">
        <v>223</v>
      </c>
      <c r="K2792" s="194">
        <f>SUM(K2790:K2791)</f>
        <v>28.975000000000001</v>
      </c>
      <c r="L2792" s="186" t="s">
        <v>108</v>
      </c>
      <c r="M2792" s="50"/>
      <c r="N2792" s="50"/>
      <c r="O2792" s="5"/>
      <c r="P2792" s="9"/>
      <c r="Q2792" s="34"/>
      <c r="R2792" s="5"/>
      <c r="S2792" s="35"/>
    </row>
    <row r="2793" spans="1:26" ht="30" customHeight="1" x14ac:dyDescent="0.35">
      <c r="A2793" s="186"/>
      <c r="B2793" s="567"/>
      <c r="C2793" s="567"/>
      <c r="D2793" s="567"/>
      <c r="E2793" s="194"/>
      <c r="F2793" s="1215" t="s">
        <v>195</v>
      </c>
      <c r="G2793" s="1273" t="s">
        <v>196</v>
      </c>
      <c r="H2793" s="1273"/>
      <c r="I2793" s="1273"/>
      <c r="J2793" s="1273"/>
      <c r="K2793" s="196">
        <v>1.06</v>
      </c>
      <c r="L2793" s="186"/>
      <c r="M2793" s="50"/>
      <c r="N2793" s="50"/>
      <c r="O2793" s="5"/>
      <c r="P2793" s="9"/>
      <c r="Q2793" s="34"/>
      <c r="R2793" s="5"/>
      <c r="S2793" s="35"/>
    </row>
    <row r="2794" spans="1:26" ht="30" customHeight="1" x14ac:dyDescent="0.35">
      <c r="A2794" s="186"/>
      <c r="B2794" s="567"/>
      <c r="C2794" s="567"/>
      <c r="D2794" s="567"/>
      <c r="E2794" s="194"/>
      <c r="F2794" s="1216"/>
      <c r="G2794" s="1268" t="s">
        <v>197</v>
      </c>
      <c r="H2794" s="1268"/>
      <c r="I2794" s="1268"/>
      <c r="J2794" s="1268"/>
      <c r="K2794" s="196">
        <v>1.06</v>
      </c>
      <c r="L2794" s="186"/>
      <c r="M2794" s="50"/>
      <c r="N2794" s="50"/>
      <c r="O2794" s="5"/>
      <c r="P2794" s="9"/>
      <c r="Q2794" s="34"/>
      <c r="R2794" s="5"/>
      <c r="S2794" s="35"/>
    </row>
    <row r="2795" spans="1:26" ht="30" customHeight="1" x14ac:dyDescent="0.35">
      <c r="A2795" s="186"/>
      <c r="B2795" s="186"/>
      <c r="C2795" s="503"/>
      <c r="D2795" s="503"/>
      <c r="E2795" s="503"/>
      <c r="F2795" s="503"/>
      <c r="G2795" s="503"/>
      <c r="H2795" s="503"/>
      <c r="I2795" s="503"/>
      <c r="J2795" s="503" t="s">
        <v>37</v>
      </c>
      <c r="K2795" s="193">
        <f>+K2792*K2793/K2794</f>
        <v>28.975000000000001</v>
      </c>
      <c r="L2795" s="186" t="s">
        <v>108</v>
      </c>
      <c r="M2795" s="50"/>
      <c r="N2795" s="50"/>
      <c r="O2795" s="5"/>
      <c r="P2795" s="9"/>
      <c r="Q2795" s="34"/>
      <c r="R2795" s="5"/>
      <c r="S2795" s="35"/>
    </row>
    <row r="2796" spans="1:26" ht="30" customHeight="1" x14ac:dyDescent="0.35">
      <c r="A2796" s="186"/>
      <c r="B2796" s="186"/>
      <c r="C2796" s="503"/>
      <c r="D2796" s="503"/>
      <c r="E2796" s="503"/>
      <c r="F2796" s="503"/>
      <c r="G2796" s="1374" t="s">
        <v>257</v>
      </c>
      <c r="H2796" s="1375"/>
      <c r="I2796" s="1376"/>
      <c r="J2796" s="560">
        <f>VLOOKUP(B2788,'Mil Cost Premiums for PUCs'!$A$4:$R$285,18,FALSE)</f>
        <v>1.0209999999999999</v>
      </c>
      <c r="K2796" s="193">
        <f>+K2795*J2796</f>
        <v>29.583475</v>
      </c>
      <c r="L2796" s="186" t="s">
        <v>108</v>
      </c>
      <c r="M2796" s="50"/>
      <c r="N2796" s="50"/>
      <c r="O2796" s="5"/>
      <c r="P2796" s="9"/>
      <c r="Q2796" s="34"/>
      <c r="R2796" s="5"/>
      <c r="S2796" s="35"/>
    </row>
    <row r="2797" spans="1:26" ht="30" customHeight="1" x14ac:dyDescent="0.35">
      <c r="A2797" s="569"/>
      <c r="B2797" s="569"/>
      <c r="C2797" s="510"/>
      <c r="D2797" s="510"/>
      <c r="E2797" s="510"/>
      <c r="F2797" s="510"/>
      <c r="G2797" s="1191" t="s">
        <v>2817</v>
      </c>
      <c r="H2797" s="1192"/>
      <c r="I2797" s="1193"/>
      <c r="J2797" s="570">
        <v>1.1214</v>
      </c>
      <c r="K2797" s="285">
        <f>+K2796*J2797</f>
        <v>33.174908864999999</v>
      </c>
      <c r="L2797" s="186" t="s">
        <v>108</v>
      </c>
      <c r="M2797" s="50"/>
      <c r="N2797" s="50"/>
      <c r="O2797" s="5"/>
      <c r="P2797" s="9"/>
      <c r="Q2797" s="34"/>
      <c r="R2797" s="5"/>
      <c r="S2797" s="35"/>
    </row>
    <row r="2798" spans="1:26" ht="30" customHeight="1" thickBot="1" x14ac:dyDescent="0.4">
      <c r="A2798" s="569"/>
      <c r="B2798" s="569"/>
      <c r="C2798" s="510"/>
      <c r="D2798" s="510"/>
      <c r="E2798" s="510"/>
      <c r="F2798" s="510"/>
      <c r="G2798" s="1191" t="s">
        <v>3000</v>
      </c>
      <c r="H2798" s="1192"/>
      <c r="I2798" s="1193"/>
      <c r="J2798" s="570">
        <v>1.0438745311870361</v>
      </c>
      <c r="K2798" s="285">
        <f>+K2797*J2798</f>
        <v>34.63044243862452</v>
      </c>
      <c r="L2798" s="186" t="s">
        <v>108</v>
      </c>
      <c r="M2798" s="50"/>
      <c r="N2798" s="50"/>
      <c r="O2798" s="5"/>
      <c r="P2798" s="9"/>
      <c r="Q2798" s="34"/>
      <c r="R2798" s="5"/>
      <c r="S2798" s="35"/>
    </row>
    <row r="2799" spans="1:26" ht="30" customHeight="1" thickBot="1" x14ac:dyDescent="0.4">
      <c r="A2799" s="1199"/>
      <c r="B2799" s="1200"/>
      <c r="C2799" s="1200"/>
      <c r="D2799" s="1200"/>
      <c r="E2799" s="1200"/>
      <c r="F2799" s="1200"/>
      <c r="G2799" s="1200"/>
      <c r="H2799" s="1200"/>
      <c r="I2799" s="1200"/>
      <c r="J2799" s="1200"/>
      <c r="K2799" s="1200"/>
      <c r="L2799" s="1201"/>
      <c r="M2799" s="50"/>
      <c r="N2799" s="50"/>
      <c r="O2799" s="5"/>
      <c r="P2799" s="9"/>
      <c r="Q2799" s="34"/>
      <c r="R2799" s="5"/>
      <c r="S2799" s="35"/>
    </row>
    <row r="2800" spans="1:26" ht="30" customHeight="1" x14ac:dyDescent="0.35">
      <c r="A2800" s="388" t="s">
        <v>1</v>
      </c>
      <c r="B2800" s="389">
        <v>7143</v>
      </c>
      <c r="C2800" s="1290" t="s">
        <v>1256</v>
      </c>
      <c r="D2800" s="1291"/>
      <c r="E2800" s="392" t="s">
        <v>3</v>
      </c>
      <c r="F2800" s="393" t="s">
        <v>108</v>
      </c>
      <c r="G2800" s="390" t="s">
        <v>38</v>
      </c>
      <c r="H2800" s="562">
        <v>399</v>
      </c>
      <c r="I2800" s="392" t="s">
        <v>5</v>
      </c>
      <c r="J2800" s="1207" t="s">
        <v>2874</v>
      </c>
      <c r="K2800" s="1207"/>
      <c r="L2800" s="1208"/>
      <c r="M2800" s="50"/>
      <c r="O2800" s="5"/>
      <c r="P2800" s="9"/>
      <c r="Q2800" s="34"/>
      <c r="R2800" s="5"/>
      <c r="S2800" s="35"/>
    </row>
    <row r="2801" spans="1:26" ht="30" customHeight="1" x14ac:dyDescent="0.35">
      <c r="A2801" s="494" t="s">
        <v>187</v>
      </c>
      <c r="B2801" s="1280" t="s">
        <v>211</v>
      </c>
      <c r="C2801" s="1281"/>
      <c r="D2801" s="1282"/>
      <c r="E2801" s="566" t="s">
        <v>52</v>
      </c>
      <c r="F2801" s="566" t="s">
        <v>53</v>
      </c>
      <c r="G2801" s="1219" t="s">
        <v>54</v>
      </c>
      <c r="H2801" s="1220"/>
      <c r="I2801" s="185" t="s">
        <v>188</v>
      </c>
      <c r="J2801" s="185"/>
      <c r="K2801" s="1209" t="s">
        <v>180</v>
      </c>
      <c r="L2801" s="1210"/>
      <c r="M2801" s="50"/>
      <c r="N2801" s="50"/>
      <c r="O2801" s="5"/>
      <c r="P2801" s="9"/>
      <c r="Q2801" s="34"/>
      <c r="R2801" s="5"/>
      <c r="S2801" s="35"/>
    </row>
    <row r="2802" spans="1:26" ht="30" customHeight="1" x14ac:dyDescent="0.35">
      <c r="A2802" s="186" t="s">
        <v>1257</v>
      </c>
      <c r="B2802" s="1202" t="s">
        <v>1258</v>
      </c>
      <c r="C2802" s="1203"/>
      <c r="D2802" s="1204"/>
      <c r="E2802" s="194">
        <v>36.5</v>
      </c>
      <c r="F2802" s="422" t="s">
        <v>108</v>
      </c>
      <c r="G2802" s="707"/>
      <c r="H2802" s="708"/>
      <c r="I2802" s="204">
        <v>1.03</v>
      </c>
      <c r="J2802" s="186"/>
      <c r="K2802" s="194">
        <f>+E2802*I2802</f>
        <v>37.594999999999999</v>
      </c>
      <c r="L2802" s="186" t="s">
        <v>108</v>
      </c>
      <c r="M2802" s="50"/>
      <c r="N2802" s="50"/>
      <c r="O2802" s="5"/>
      <c r="P2802" s="9"/>
      <c r="Q2802" s="34"/>
      <c r="R2802" s="5"/>
      <c r="S2802" s="35"/>
    </row>
    <row r="2803" spans="1:26" ht="30" customHeight="1" x14ac:dyDescent="0.35">
      <c r="A2803" s="186" t="s">
        <v>249</v>
      </c>
      <c r="B2803" s="1211" t="s">
        <v>1259</v>
      </c>
      <c r="C2803" s="1211"/>
      <c r="D2803" s="1211"/>
      <c r="E2803" s="194">
        <v>5.0999999999999996</v>
      </c>
      <c r="F2803" s="186" t="s">
        <v>108</v>
      </c>
      <c r="G2803" s="186"/>
      <c r="H2803" s="186"/>
      <c r="I2803" s="186">
        <v>1.0900000000000001</v>
      </c>
      <c r="J2803" s="186"/>
      <c r="K2803" s="194">
        <f>+E2803*I2803</f>
        <v>5.5590000000000002</v>
      </c>
      <c r="L2803" s="186" t="s">
        <v>108</v>
      </c>
      <c r="M2803" s="50"/>
      <c r="N2803" s="50"/>
      <c r="O2803" s="5"/>
      <c r="P2803" s="9"/>
      <c r="Q2803" s="34"/>
      <c r="R2803" s="5"/>
      <c r="S2803" s="35"/>
    </row>
    <row r="2804" spans="1:26" ht="30" customHeight="1" x14ac:dyDescent="0.35">
      <c r="A2804" s="985"/>
      <c r="B2804" s="1211"/>
      <c r="C2804" s="1211"/>
      <c r="D2804" s="1211"/>
      <c r="E2804" s="194"/>
      <c r="F2804" s="186"/>
      <c r="G2804" s="186"/>
      <c r="H2804" s="186"/>
      <c r="I2804" s="186"/>
      <c r="J2804" s="186" t="s">
        <v>223</v>
      </c>
      <c r="K2804" s="194">
        <f>SUM(K2802:K2803)</f>
        <v>43.153999999999996</v>
      </c>
      <c r="L2804" s="186" t="s">
        <v>108</v>
      </c>
      <c r="M2804" s="50"/>
      <c r="N2804" s="50"/>
      <c r="O2804" s="5"/>
      <c r="P2804" s="9"/>
      <c r="Q2804" s="34"/>
      <c r="R2804" s="5"/>
      <c r="S2804" s="35"/>
    </row>
    <row r="2805" spans="1:26" ht="30" customHeight="1" x14ac:dyDescent="0.35">
      <c r="A2805" s="186"/>
      <c r="B2805" s="567"/>
      <c r="C2805" s="567"/>
      <c r="D2805" s="567"/>
      <c r="E2805" s="194"/>
      <c r="F2805" s="1215" t="s">
        <v>195</v>
      </c>
      <c r="G2805" s="1273" t="s">
        <v>196</v>
      </c>
      <c r="H2805" s="1273"/>
      <c r="I2805" s="1273"/>
      <c r="J2805" s="1273"/>
      <c r="K2805" s="196">
        <v>1.05</v>
      </c>
      <c r="L2805" s="186"/>
      <c r="M2805" s="50"/>
      <c r="N2805" s="50"/>
      <c r="O2805" s="5"/>
      <c r="P2805" s="9"/>
      <c r="Q2805" s="34"/>
      <c r="R2805" s="5"/>
      <c r="S2805" s="35"/>
    </row>
    <row r="2806" spans="1:26" ht="30" customHeight="1" x14ac:dyDescent="0.35">
      <c r="A2806" s="186"/>
      <c r="B2806" s="567"/>
      <c r="C2806" s="567"/>
      <c r="D2806" s="567"/>
      <c r="E2806" s="194"/>
      <c r="F2806" s="1216"/>
      <c r="G2806" s="1268" t="s">
        <v>2875</v>
      </c>
      <c r="H2806" s="1268"/>
      <c r="I2806" s="1268"/>
      <c r="J2806" s="1268"/>
      <c r="K2806" s="196">
        <v>1.07</v>
      </c>
      <c r="L2806" s="186"/>
      <c r="M2806" s="50"/>
      <c r="N2806" s="50"/>
      <c r="O2806" s="5"/>
      <c r="P2806" s="9"/>
      <c r="Q2806" s="34"/>
      <c r="R2806" s="5"/>
      <c r="S2806" s="35"/>
      <c r="U2806" s="10"/>
    </row>
    <row r="2807" spans="1:26" ht="30" customHeight="1" x14ac:dyDescent="0.35">
      <c r="A2807" s="186"/>
      <c r="B2807" s="186"/>
      <c r="C2807" s="503"/>
      <c r="D2807" s="503"/>
      <c r="E2807" s="503"/>
      <c r="F2807" s="503"/>
      <c r="G2807" s="503"/>
      <c r="H2807" s="503"/>
      <c r="I2807" s="503"/>
      <c r="J2807" s="503" t="s">
        <v>37</v>
      </c>
      <c r="K2807" s="193">
        <f>+K2804*K2805/K2806</f>
        <v>42.347383177570087</v>
      </c>
      <c r="L2807" s="186" t="s">
        <v>108</v>
      </c>
      <c r="M2807" s="50"/>
      <c r="N2807" s="50"/>
      <c r="O2807" s="5"/>
      <c r="P2807" s="9"/>
      <c r="Q2807" s="34"/>
      <c r="R2807" s="5"/>
      <c r="S2807" s="35"/>
      <c r="U2807" s="10"/>
    </row>
    <row r="2808" spans="1:26" ht="30" customHeight="1" thickBot="1" x14ac:dyDescent="0.4">
      <c r="A2808" s="186"/>
      <c r="B2808" s="186"/>
      <c r="C2808" s="503"/>
      <c r="D2808" s="503"/>
      <c r="E2808" s="503"/>
      <c r="F2808" s="503"/>
      <c r="G2808" s="1194" t="s">
        <v>257</v>
      </c>
      <c r="H2808" s="1195"/>
      <c r="I2808" s="1196"/>
      <c r="J2808" s="560">
        <f>VLOOKUP(B2800,'Mil Cost Premiums for PUCs'!$A$4:$R$285,18,FALSE)</f>
        <v>1.0209999999999999</v>
      </c>
      <c r="K2808" s="193">
        <f>+K2807*J2808</f>
        <v>43.236678224299055</v>
      </c>
      <c r="L2808" s="186" t="s">
        <v>108</v>
      </c>
      <c r="M2808" s="50"/>
      <c r="N2808" s="50"/>
      <c r="P2808" s="9"/>
      <c r="Q2808" s="34"/>
      <c r="R2808" s="5"/>
      <c r="S2808" s="35"/>
      <c r="U2808" s="396"/>
      <c r="V2808" s="396"/>
      <c r="W2808" s="396"/>
      <c r="X2808" s="396"/>
      <c r="Y2808" s="396"/>
    </row>
    <row r="2809" spans="1:26" ht="30" customHeight="1" thickBot="1" x14ac:dyDescent="0.4">
      <c r="A2809" s="1199"/>
      <c r="B2809" s="1200"/>
      <c r="C2809" s="1200"/>
      <c r="D2809" s="1200"/>
      <c r="E2809" s="1200"/>
      <c r="F2809" s="1200"/>
      <c r="G2809" s="1200"/>
      <c r="H2809" s="1200"/>
      <c r="I2809" s="1200"/>
      <c r="J2809" s="1200"/>
      <c r="K2809" s="1200"/>
      <c r="L2809" s="1201"/>
      <c r="N2809" s="50"/>
      <c r="O2809" s="384"/>
      <c r="T2809" s="10"/>
      <c r="Z2809" s="396"/>
    </row>
    <row r="2810" spans="1:26" ht="30" customHeight="1" x14ac:dyDescent="0.35">
      <c r="A2810" s="388" t="s">
        <v>1</v>
      </c>
      <c r="B2810" s="389">
        <v>7145</v>
      </c>
      <c r="C2810" s="1205" t="s">
        <v>1260</v>
      </c>
      <c r="D2810" s="1206"/>
      <c r="E2810" s="392" t="s">
        <v>3</v>
      </c>
      <c r="F2810" s="393" t="s">
        <v>108</v>
      </c>
      <c r="G2810" s="390" t="s">
        <v>38</v>
      </c>
      <c r="H2810" s="660">
        <v>2809</v>
      </c>
      <c r="I2810" s="392" t="s">
        <v>5</v>
      </c>
      <c r="J2810" s="1207" t="s">
        <v>2874</v>
      </c>
      <c r="K2810" s="1207"/>
      <c r="L2810" s="1208"/>
      <c r="M2810" s="50"/>
      <c r="N2810" s="96"/>
      <c r="O2810" s="5"/>
      <c r="T2810" s="10"/>
      <c r="X2810" s="396"/>
      <c r="Y2810" s="396"/>
    </row>
    <row r="2811" spans="1:26" ht="30" customHeight="1" x14ac:dyDescent="0.35">
      <c r="A2811" s="494" t="s">
        <v>187</v>
      </c>
      <c r="B2811" s="1280" t="s">
        <v>211</v>
      </c>
      <c r="C2811" s="1281"/>
      <c r="D2811" s="1282"/>
      <c r="E2811" s="566" t="s">
        <v>52</v>
      </c>
      <c r="F2811" s="566" t="s">
        <v>53</v>
      </c>
      <c r="G2811" s="1219" t="s">
        <v>54</v>
      </c>
      <c r="H2811" s="1220"/>
      <c r="I2811" s="185" t="s">
        <v>188</v>
      </c>
      <c r="J2811" s="185"/>
      <c r="K2811" s="1209" t="s">
        <v>180</v>
      </c>
      <c r="L2811" s="1210"/>
      <c r="M2811" s="50"/>
      <c r="N2811" s="50"/>
      <c r="X2811" s="396"/>
      <c r="Y2811" s="396"/>
      <c r="Z2811" s="396"/>
    </row>
    <row r="2812" spans="1:26" s="396" customFormat="1" ht="30" customHeight="1" x14ac:dyDescent="0.35">
      <c r="A2812" s="186" t="s">
        <v>1216</v>
      </c>
      <c r="B2812" s="1202" t="s">
        <v>1261</v>
      </c>
      <c r="C2812" s="1203"/>
      <c r="D2812" s="1204"/>
      <c r="E2812" s="194">
        <v>144</v>
      </c>
      <c r="F2812" s="422" t="s">
        <v>108</v>
      </c>
      <c r="G2812" s="707"/>
      <c r="H2812" s="708"/>
      <c r="I2812" s="186">
        <v>1.0900000000000001</v>
      </c>
      <c r="J2812" s="186"/>
      <c r="K2812" s="194">
        <f>+E2812*I2812</f>
        <v>156.96</v>
      </c>
      <c r="L2812" s="186" t="s">
        <v>108</v>
      </c>
      <c r="M2812" s="50"/>
      <c r="N2812" s="50"/>
      <c r="P2812" s="384"/>
      <c r="U2812" s="10"/>
      <c r="V2812" s="9"/>
      <c r="W2812" s="9"/>
      <c r="X2812" s="9"/>
      <c r="Y2812" s="9"/>
    </row>
    <row r="2813" spans="1:26" ht="30" customHeight="1" x14ac:dyDescent="0.35">
      <c r="A2813" s="186" t="s">
        <v>285</v>
      </c>
      <c r="B2813" s="1211" t="s">
        <v>1262</v>
      </c>
      <c r="C2813" s="1211"/>
      <c r="D2813" s="1211"/>
      <c r="E2813" s="194">
        <v>5.91</v>
      </c>
      <c r="F2813" s="186" t="s">
        <v>108</v>
      </c>
      <c r="G2813" s="186"/>
      <c r="H2813" s="186"/>
      <c r="I2813" s="186">
        <v>1.0900000000000001</v>
      </c>
      <c r="J2813" s="186"/>
      <c r="K2813" s="194">
        <f>+E2813*I2813</f>
        <v>6.4419000000000004</v>
      </c>
      <c r="L2813" s="186" t="s">
        <v>108</v>
      </c>
      <c r="M2813" s="50"/>
      <c r="N2813" s="50"/>
      <c r="O2813" s="5"/>
      <c r="U2813" s="10"/>
    </row>
    <row r="2814" spans="1:26" ht="30" customHeight="1" x14ac:dyDescent="0.35">
      <c r="A2814" s="985"/>
      <c r="B2814" s="1211"/>
      <c r="C2814" s="1211"/>
      <c r="D2814" s="1211"/>
      <c r="E2814" s="194"/>
      <c r="F2814" s="186"/>
      <c r="G2814" s="186"/>
      <c r="H2814" s="186"/>
      <c r="I2814" s="186"/>
      <c r="J2814" s="186" t="s">
        <v>223</v>
      </c>
      <c r="K2814" s="194">
        <f>SUM(K2812:K2813)</f>
        <v>163.40190000000001</v>
      </c>
      <c r="L2814" s="186" t="s">
        <v>108</v>
      </c>
      <c r="M2814" s="50"/>
      <c r="N2814" s="50"/>
      <c r="O2814" s="466"/>
      <c r="U2814" s="396"/>
      <c r="V2814" s="396"/>
      <c r="W2814" s="396"/>
    </row>
    <row r="2815" spans="1:26" s="396" customFormat="1" ht="42.5" customHeight="1" x14ac:dyDescent="0.35">
      <c r="A2815" s="186"/>
      <c r="B2815" s="567"/>
      <c r="C2815" s="567"/>
      <c r="D2815" s="567"/>
      <c r="E2815" s="194"/>
      <c r="F2815" s="1215" t="s">
        <v>195</v>
      </c>
      <c r="G2815" s="1273" t="s">
        <v>196</v>
      </c>
      <c r="H2815" s="1273"/>
      <c r="I2815" s="1273"/>
      <c r="J2815" s="1273"/>
      <c r="K2815" s="196">
        <v>1.05</v>
      </c>
      <c r="L2815" s="186"/>
      <c r="M2815" s="50"/>
      <c r="N2815" s="50"/>
      <c r="O2815" s="5"/>
      <c r="P2815" s="14"/>
      <c r="Q2815" s="9"/>
      <c r="R2815" s="9"/>
      <c r="S2815" s="9"/>
      <c r="T2815" s="10"/>
      <c r="U2815" s="9"/>
      <c r="V2815" s="9"/>
      <c r="W2815" s="9"/>
      <c r="X2815" s="9"/>
      <c r="Y2815" s="9"/>
      <c r="Z2815" s="9"/>
    </row>
    <row r="2816" spans="1:26" ht="30" customHeight="1" x14ac:dyDescent="0.35">
      <c r="A2816" s="186"/>
      <c r="B2816" s="567"/>
      <c r="C2816" s="567"/>
      <c r="D2816" s="567"/>
      <c r="E2816" s="194"/>
      <c r="F2816" s="1216"/>
      <c r="G2816" s="1268" t="s">
        <v>2875</v>
      </c>
      <c r="H2816" s="1268"/>
      <c r="I2816" s="1268"/>
      <c r="J2816" s="1268"/>
      <c r="K2816" s="196">
        <v>1.07</v>
      </c>
      <c r="L2816" s="186"/>
      <c r="M2816" s="50"/>
      <c r="N2816" s="50"/>
      <c r="O2816" s="5"/>
      <c r="T2816" s="10"/>
      <c r="Z2816" s="396"/>
    </row>
    <row r="2817" spans="1:26" ht="30" customHeight="1" x14ac:dyDescent="0.35">
      <c r="A2817" s="186"/>
      <c r="B2817" s="186"/>
      <c r="C2817" s="503"/>
      <c r="D2817" s="503"/>
      <c r="E2817" s="503"/>
      <c r="F2817" s="503"/>
      <c r="G2817" s="503"/>
      <c r="H2817" s="503"/>
      <c r="I2817" s="503"/>
      <c r="J2817" s="186" t="s">
        <v>37</v>
      </c>
      <c r="K2817" s="193">
        <f>+K2814*K2815/K2816</f>
        <v>160.34765887850469</v>
      </c>
      <c r="L2817" s="186" t="s">
        <v>108</v>
      </c>
      <c r="M2817" s="50"/>
      <c r="N2817" s="50"/>
      <c r="O2817" s="5"/>
      <c r="P2817" s="384"/>
      <c r="Q2817" s="396"/>
      <c r="R2817" s="396"/>
      <c r="S2817" s="396"/>
      <c r="T2817" s="396"/>
    </row>
    <row r="2818" spans="1:26" ht="30" customHeight="1" thickBot="1" x14ac:dyDescent="0.4">
      <c r="A2818" s="186"/>
      <c r="B2818" s="186"/>
      <c r="C2818" s="503"/>
      <c r="D2818" s="503"/>
      <c r="E2818" s="503"/>
      <c r="F2818" s="503"/>
      <c r="G2818" s="1194" t="s">
        <v>257</v>
      </c>
      <c r="H2818" s="1195"/>
      <c r="I2818" s="1196"/>
      <c r="J2818" s="560">
        <f>VLOOKUP(B2810,'Mil Cost Premiums for PUCs'!$A$4:$R$285,18,FALSE)</f>
        <v>1.0209999999999999</v>
      </c>
      <c r="K2818" s="193">
        <f>+K2817*J2818</f>
        <v>163.71495971495327</v>
      </c>
      <c r="L2818" s="186" t="s">
        <v>108</v>
      </c>
      <c r="M2818" s="50"/>
      <c r="N2818" s="50"/>
      <c r="O2818" s="5"/>
    </row>
    <row r="2819" spans="1:26" s="396" customFormat="1" ht="30" customHeight="1" thickBot="1" x14ac:dyDescent="0.4">
      <c r="A2819" s="1199"/>
      <c r="B2819" s="1200"/>
      <c r="C2819" s="1200"/>
      <c r="D2819" s="1200"/>
      <c r="E2819" s="1200"/>
      <c r="F2819" s="1200"/>
      <c r="G2819" s="1200"/>
      <c r="H2819" s="1200"/>
      <c r="I2819" s="1200"/>
      <c r="J2819" s="1200"/>
      <c r="K2819" s="1200"/>
      <c r="L2819" s="1201"/>
      <c r="M2819" s="11"/>
      <c r="N2819" s="50"/>
      <c r="O2819" s="5"/>
      <c r="P2819" s="14"/>
      <c r="Q2819" s="9"/>
      <c r="R2819" s="9"/>
      <c r="S2819" s="9"/>
      <c r="T2819" s="9"/>
      <c r="U2819" s="9"/>
      <c r="V2819" s="9"/>
      <c r="W2819" s="9"/>
      <c r="X2819" s="9"/>
      <c r="Y2819" s="9"/>
      <c r="Z2819" s="9"/>
    </row>
    <row r="2820" spans="1:26" ht="30" customHeight="1" x14ac:dyDescent="0.35">
      <c r="A2820" s="388" t="s">
        <v>1</v>
      </c>
      <c r="B2820" s="389">
        <v>7147</v>
      </c>
      <c r="C2820" s="1205" t="s">
        <v>1263</v>
      </c>
      <c r="D2820" s="1206"/>
      <c r="E2820" s="392" t="s">
        <v>3</v>
      </c>
      <c r="F2820" s="393" t="s">
        <v>108</v>
      </c>
      <c r="G2820" s="390" t="s">
        <v>38</v>
      </c>
      <c r="H2820" s="562">
        <v>544</v>
      </c>
      <c r="I2820" s="392" t="s">
        <v>5</v>
      </c>
      <c r="J2820" s="1207" t="s">
        <v>186</v>
      </c>
      <c r="K2820" s="1207"/>
      <c r="L2820" s="1208"/>
      <c r="M2820" s="50"/>
      <c r="N2820" s="50"/>
      <c r="O2820" s="5"/>
      <c r="P2820" s="9"/>
      <c r="Q2820" s="34"/>
      <c r="R2820" s="5"/>
      <c r="S2820" s="35"/>
    </row>
    <row r="2821" spans="1:26" ht="30" customHeight="1" x14ac:dyDescent="0.35">
      <c r="A2821" s="494" t="s">
        <v>187</v>
      </c>
      <c r="B2821" s="1280" t="s">
        <v>211</v>
      </c>
      <c r="C2821" s="1281"/>
      <c r="D2821" s="1282"/>
      <c r="E2821" s="566" t="s">
        <v>52</v>
      </c>
      <c r="F2821" s="566" t="s">
        <v>53</v>
      </c>
      <c r="G2821" s="1219" t="s">
        <v>54</v>
      </c>
      <c r="H2821" s="1220"/>
      <c r="I2821" s="185" t="s">
        <v>188</v>
      </c>
      <c r="J2821" s="185"/>
      <c r="K2821" s="1209" t="s">
        <v>180</v>
      </c>
      <c r="L2821" s="1210"/>
      <c r="M2821" s="50"/>
      <c r="N2821" s="50"/>
      <c r="P2821" s="9"/>
      <c r="Q2821" s="34"/>
      <c r="R2821" s="5"/>
      <c r="S2821" s="35"/>
    </row>
    <row r="2822" spans="1:26" ht="30" customHeight="1" x14ac:dyDescent="0.35">
      <c r="A2822" s="985" t="s">
        <v>1253</v>
      </c>
      <c r="B2822" s="1202" t="s">
        <v>1264</v>
      </c>
      <c r="C2822" s="1203"/>
      <c r="D2822" s="1204"/>
      <c r="E2822" s="194">
        <f>+(8.58+17.25)/2</f>
        <v>12.914999999999999</v>
      </c>
      <c r="F2822" s="422" t="s">
        <v>108</v>
      </c>
      <c r="G2822" s="707"/>
      <c r="H2822" s="708"/>
      <c r="I2822" s="186">
        <v>1.22</v>
      </c>
      <c r="J2822" s="186"/>
      <c r="K2822" s="194">
        <f>+E2822*I2822</f>
        <v>15.756299999999998</v>
      </c>
      <c r="L2822" s="186" t="s">
        <v>108</v>
      </c>
      <c r="M2822" s="50"/>
      <c r="N2822" s="64"/>
      <c r="O2822" s="15"/>
      <c r="P2822" s="9"/>
      <c r="Q2822" s="34"/>
      <c r="R2822" s="5"/>
      <c r="S2822" s="35"/>
    </row>
    <row r="2823" spans="1:26" ht="30" customHeight="1" x14ac:dyDescent="0.35">
      <c r="A2823" s="985" t="s">
        <v>1253</v>
      </c>
      <c r="B2823" s="1212" t="s">
        <v>1265</v>
      </c>
      <c r="C2823" s="1213"/>
      <c r="D2823" s="1214"/>
      <c r="E2823" s="194">
        <f>(6+10.25)/2</f>
        <v>8.125</v>
      </c>
      <c r="F2823" s="422" t="s">
        <v>108</v>
      </c>
      <c r="G2823" s="707"/>
      <c r="H2823" s="708"/>
      <c r="I2823" s="186">
        <v>1.22</v>
      </c>
      <c r="J2823" s="186"/>
      <c r="K2823" s="194">
        <f>+E2823*I2823</f>
        <v>9.9124999999999996</v>
      </c>
      <c r="L2823" s="186"/>
      <c r="M2823" s="50"/>
      <c r="O2823" s="572"/>
      <c r="P2823" s="9"/>
      <c r="Q2823" s="34"/>
      <c r="R2823" s="5"/>
      <c r="S2823" s="35"/>
    </row>
    <row r="2824" spans="1:26" ht="30" customHeight="1" x14ac:dyDescent="0.35">
      <c r="A2824" s="985"/>
      <c r="B2824" s="1211"/>
      <c r="C2824" s="1211"/>
      <c r="D2824" s="1211"/>
      <c r="E2824" s="194"/>
      <c r="F2824" s="186"/>
      <c r="G2824" s="186"/>
      <c r="H2824" s="186"/>
      <c r="I2824" s="186"/>
      <c r="J2824" s="186" t="s">
        <v>223</v>
      </c>
      <c r="K2824" s="194">
        <f>SUM(K2822:K2823)</f>
        <v>25.668799999999997</v>
      </c>
      <c r="L2824" s="186" t="s">
        <v>108</v>
      </c>
      <c r="M2824" s="50"/>
      <c r="N2824" s="64"/>
      <c r="P2824" s="9"/>
      <c r="Q2824" s="34"/>
      <c r="R2824" s="5"/>
      <c r="S2824" s="35"/>
    </row>
    <row r="2825" spans="1:26" ht="30" customHeight="1" x14ac:dyDescent="0.35">
      <c r="A2825" s="186"/>
      <c r="B2825" s="567"/>
      <c r="C2825" s="567"/>
      <c r="D2825" s="567"/>
      <c r="E2825" s="194"/>
      <c r="F2825" s="1215" t="s">
        <v>195</v>
      </c>
      <c r="G2825" s="1273" t="s">
        <v>196</v>
      </c>
      <c r="H2825" s="1273"/>
      <c r="I2825" s="1273"/>
      <c r="J2825" s="1273"/>
      <c r="K2825" s="196">
        <v>1.06</v>
      </c>
      <c r="L2825" s="186"/>
      <c r="M2825" s="50"/>
      <c r="N2825" s="64"/>
      <c r="P2825" s="9"/>
      <c r="Q2825" s="34"/>
      <c r="R2825" s="5"/>
      <c r="S2825" s="35"/>
    </row>
    <row r="2826" spans="1:26" ht="30" customHeight="1" x14ac:dyDescent="0.35">
      <c r="A2826" s="186"/>
      <c r="B2826" s="567"/>
      <c r="C2826" s="567"/>
      <c r="D2826" s="567"/>
      <c r="E2826" s="194"/>
      <c r="F2826" s="1216"/>
      <c r="G2826" s="1268" t="s">
        <v>197</v>
      </c>
      <c r="H2826" s="1268"/>
      <c r="I2826" s="1268"/>
      <c r="J2826" s="1268"/>
      <c r="K2826" s="196">
        <v>1.06</v>
      </c>
      <c r="L2826" s="186"/>
      <c r="M2826" s="50"/>
      <c r="N2826" s="64"/>
      <c r="P2826" s="9"/>
      <c r="Q2826" s="34"/>
      <c r="R2826" s="5"/>
      <c r="S2826" s="35"/>
    </row>
    <row r="2827" spans="1:26" ht="30" customHeight="1" x14ac:dyDescent="0.35">
      <c r="A2827" s="186"/>
      <c r="B2827" s="186"/>
      <c r="C2827" s="503"/>
      <c r="D2827" s="503"/>
      <c r="E2827" s="503"/>
      <c r="F2827" s="503"/>
      <c r="G2827" s="503"/>
      <c r="H2827" s="503"/>
      <c r="I2827" s="503"/>
      <c r="J2827" s="186" t="s">
        <v>37</v>
      </c>
      <c r="K2827" s="193">
        <f>+K2824*K2825/K2826</f>
        <v>25.668799999999997</v>
      </c>
      <c r="L2827" s="186" t="s">
        <v>108</v>
      </c>
      <c r="M2827" s="50"/>
      <c r="N2827" s="64"/>
      <c r="P2827" s="9"/>
      <c r="Q2827" s="34"/>
      <c r="R2827" s="5"/>
      <c r="S2827" s="35"/>
    </row>
    <row r="2828" spans="1:26" ht="30" customHeight="1" x14ac:dyDescent="0.35">
      <c r="A2828" s="186"/>
      <c r="B2828" s="186"/>
      <c r="C2828" s="503"/>
      <c r="D2828" s="503"/>
      <c r="E2828" s="503"/>
      <c r="F2828" s="503"/>
      <c r="G2828" s="1374" t="s">
        <v>257</v>
      </c>
      <c r="H2828" s="1375"/>
      <c r="I2828" s="1376"/>
      <c r="J2828" s="560">
        <f>VLOOKUP(B2820,'Mil Cost Premiums for PUCs'!$A$4:$R$285,18,FALSE)</f>
        <v>1.0905505199999999</v>
      </c>
      <c r="K2828" s="193">
        <f>+K2827*J2828</f>
        <v>27.993123187775993</v>
      </c>
      <c r="L2828" s="186" t="s">
        <v>108</v>
      </c>
      <c r="M2828" s="50"/>
      <c r="N2828" s="50"/>
      <c r="O2828" s="572"/>
      <c r="P2828" s="9"/>
      <c r="Q2828" s="34"/>
      <c r="R2828" s="5"/>
      <c r="S2828" s="35"/>
    </row>
    <row r="2829" spans="1:26" ht="30" customHeight="1" x14ac:dyDescent="0.35">
      <c r="A2829" s="569"/>
      <c r="B2829" s="569"/>
      <c r="C2829" s="510"/>
      <c r="D2829" s="510"/>
      <c r="E2829" s="510"/>
      <c r="F2829" s="510"/>
      <c r="G2829" s="1191" t="s">
        <v>2817</v>
      </c>
      <c r="H2829" s="1192"/>
      <c r="I2829" s="1193"/>
      <c r="J2829" s="570">
        <v>1.1214</v>
      </c>
      <c r="K2829" s="285">
        <f>+K2828*J2829</f>
        <v>31.391488342771996</v>
      </c>
      <c r="L2829" s="186" t="s">
        <v>108</v>
      </c>
      <c r="M2829" s="50"/>
      <c r="N2829" s="50"/>
      <c r="P2829" s="9"/>
      <c r="Q2829" s="34"/>
      <c r="R2829" s="5"/>
      <c r="S2829" s="35"/>
    </row>
    <row r="2830" spans="1:26" ht="30" customHeight="1" thickBot="1" x14ac:dyDescent="0.4">
      <c r="A2830" s="569"/>
      <c r="B2830" s="569"/>
      <c r="C2830" s="510"/>
      <c r="D2830" s="510"/>
      <c r="E2830" s="510"/>
      <c r="F2830" s="510"/>
      <c r="G2830" s="1191" t="s">
        <v>3000</v>
      </c>
      <c r="H2830" s="1192"/>
      <c r="I2830" s="1193"/>
      <c r="J2830" s="570">
        <v>1.0438745311870361</v>
      </c>
      <c r="K2830" s="285">
        <f>+K2829*J2830</f>
        <v>32.768775177074424</v>
      </c>
      <c r="L2830" s="186" t="s">
        <v>108</v>
      </c>
      <c r="M2830" s="50"/>
      <c r="N2830" s="50"/>
      <c r="P2830" s="9"/>
      <c r="Q2830" s="34"/>
      <c r="R2830" s="5"/>
      <c r="S2830" s="35"/>
    </row>
    <row r="2831" spans="1:26" ht="30" customHeight="1" thickBot="1" x14ac:dyDescent="0.4">
      <c r="A2831" s="1199"/>
      <c r="B2831" s="1200"/>
      <c r="C2831" s="1200"/>
      <c r="D2831" s="1200"/>
      <c r="E2831" s="1200"/>
      <c r="F2831" s="1200"/>
      <c r="G2831" s="1200"/>
      <c r="H2831" s="1200"/>
      <c r="I2831" s="1200"/>
      <c r="J2831" s="1200"/>
      <c r="K2831" s="1200"/>
      <c r="L2831" s="1201"/>
      <c r="M2831" s="50"/>
      <c r="N2831" s="50"/>
      <c r="O2831" s="5"/>
      <c r="P2831" s="9"/>
      <c r="Q2831" s="34"/>
      <c r="R2831" s="5"/>
      <c r="S2831" s="35"/>
    </row>
    <row r="2832" spans="1:26" ht="30" customHeight="1" x14ac:dyDescent="0.35">
      <c r="A2832" s="388" t="s">
        <v>1</v>
      </c>
      <c r="B2832" s="389">
        <v>7210</v>
      </c>
      <c r="C2832" s="1290" t="s">
        <v>1266</v>
      </c>
      <c r="D2832" s="1291"/>
      <c r="E2832" s="392" t="s">
        <v>3</v>
      </c>
      <c r="F2832" s="393" t="s">
        <v>108</v>
      </c>
      <c r="G2832" s="390" t="s">
        <v>38</v>
      </c>
      <c r="H2832" s="134">
        <v>32871.7441935483</v>
      </c>
      <c r="I2832" s="392" t="s">
        <v>5</v>
      </c>
      <c r="J2832" s="1207" t="s">
        <v>2861</v>
      </c>
      <c r="K2832" s="1207"/>
      <c r="L2832" s="1208"/>
      <c r="M2832" s="50"/>
      <c r="N2832" s="50"/>
      <c r="O2832" s="5"/>
      <c r="P2832" s="9"/>
      <c r="Q2832" s="34"/>
      <c r="R2832" s="5"/>
      <c r="S2832" s="35"/>
    </row>
    <row r="2833" spans="1:25" ht="30" customHeight="1" x14ac:dyDescent="0.35">
      <c r="A2833" s="185" t="s">
        <v>177</v>
      </c>
      <c r="B2833" s="1272" t="s">
        <v>7</v>
      </c>
      <c r="C2833" s="1272"/>
      <c r="D2833" s="1272"/>
      <c r="E2833" s="492" t="s">
        <v>178</v>
      </c>
      <c r="F2833" s="397" t="s">
        <v>52</v>
      </c>
      <c r="G2833" s="185"/>
      <c r="H2833" s="185"/>
      <c r="I2833" s="1223" t="s">
        <v>56</v>
      </c>
      <c r="J2833" s="1224"/>
      <c r="K2833" s="1209" t="s">
        <v>180</v>
      </c>
      <c r="L2833" s="1210"/>
      <c r="M2833" s="50"/>
      <c r="N2833" s="50"/>
      <c r="O2833" s="665"/>
      <c r="P2833" s="9"/>
      <c r="Q2833" s="34"/>
      <c r="R2833" s="5"/>
      <c r="S2833" s="35"/>
    </row>
    <row r="2834" spans="1:25" ht="30" customHeight="1" x14ac:dyDescent="0.35">
      <c r="A2834" s="401" t="s">
        <v>181</v>
      </c>
      <c r="B2834" s="1265" t="s">
        <v>1267</v>
      </c>
      <c r="C2834" s="1265"/>
      <c r="D2834" s="1265"/>
      <c r="E2834" s="531">
        <v>63000</v>
      </c>
      <c r="F2834" s="187">
        <v>510</v>
      </c>
      <c r="G2834" s="532"/>
      <c r="H2834" s="533"/>
      <c r="I2834" s="1217" t="s">
        <v>2860</v>
      </c>
      <c r="J2834" s="1218"/>
      <c r="K2834" s="187">
        <f>+F2834</f>
        <v>510</v>
      </c>
      <c r="L2834" s="401" t="s">
        <v>108</v>
      </c>
      <c r="M2834" s="50"/>
      <c r="O2834" s="5"/>
      <c r="P2834" s="9"/>
      <c r="Q2834" s="34"/>
      <c r="R2834" s="5"/>
      <c r="S2834" s="35"/>
    </row>
    <row r="2835" spans="1:25" ht="30" customHeight="1" thickBot="1" x14ac:dyDescent="0.4">
      <c r="A2835" s="186"/>
      <c r="B2835" s="1264"/>
      <c r="C2835" s="1264"/>
      <c r="D2835" s="1264"/>
      <c r="E2835" s="535"/>
      <c r="F2835" s="536"/>
      <c r="G2835" s="536"/>
      <c r="H2835" s="537"/>
      <c r="I2835" s="503"/>
      <c r="J2835" s="494" t="s">
        <v>37</v>
      </c>
      <c r="K2835" s="193">
        <f>+K2834</f>
        <v>510</v>
      </c>
      <c r="L2835" s="186" t="s">
        <v>108</v>
      </c>
      <c r="M2835" s="50"/>
      <c r="N2835" s="50"/>
      <c r="O2835" s="5"/>
      <c r="P2835" s="9"/>
      <c r="Q2835" s="34"/>
      <c r="R2835" s="5"/>
      <c r="S2835" s="35"/>
    </row>
    <row r="2836" spans="1:25" ht="30" customHeight="1" thickBot="1" x14ac:dyDescent="0.4">
      <c r="A2836" s="1199"/>
      <c r="B2836" s="1200"/>
      <c r="C2836" s="1200"/>
      <c r="D2836" s="1200"/>
      <c r="E2836" s="1200"/>
      <c r="F2836" s="1200"/>
      <c r="G2836" s="1200"/>
      <c r="H2836" s="1200"/>
      <c r="I2836" s="1200"/>
      <c r="J2836" s="1200"/>
      <c r="K2836" s="1200"/>
      <c r="L2836" s="1201"/>
      <c r="M2836" s="50"/>
      <c r="N2836" s="50"/>
      <c r="O2836" s="5"/>
      <c r="P2836" s="9"/>
      <c r="Q2836" s="34"/>
      <c r="R2836" s="5"/>
      <c r="S2836" s="35"/>
      <c r="U2836" s="396"/>
    </row>
    <row r="2837" spans="1:25" ht="30" customHeight="1" x14ac:dyDescent="0.35">
      <c r="A2837" s="388" t="s">
        <v>1</v>
      </c>
      <c r="B2837" s="389">
        <v>7212</v>
      </c>
      <c r="C2837" s="1290" t="s">
        <v>1268</v>
      </c>
      <c r="D2837" s="1291"/>
      <c r="E2837" s="392" t="s">
        <v>3</v>
      </c>
      <c r="F2837" s="393" t="s">
        <v>108</v>
      </c>
      <c r="G2837" s="390" t="s">
        <v>38</v>
      </c>
      <c r="H2837" s="134">
        <v>17088.183916500901</v>
      </c>
      <c r="I2837" s="392" t="s">
        <v>5</v>
      </c>
      <c r="J2837" s="1207" t="s">
        <v>2861</v>
      </c>
      <c r="K2837" s="1207"/>
      <c r="L2837" s="1208"/>
      <c r="M2837" s="50"/>
      <c r="N2837" s="50"/>
      <c r="O2837" s="5"/>
      <c r="P2837" s="9"/>
      <c r="Q2837" s="34"/>
      <c r="R2837" s="5"/>
      <c r="S2837" s="35"/>
      <c r="U2837" s="396"/>
    </row>
    <row r="2838" spans="1:25" ht="30" customHeight="1" x14ac:dyDescent="0.35">
      <c r="A2838" s="185" t="s">
        <v>177</v>
      </c>
      <c r="B2838" s="1272" t="s">
        <v>7</v>
      </c>
      <c r="C2838" s="1272"/>
      <c r="D2838" s="1272"/>
      <c r="E2838" s="492" t="s">
        <v>178</v>
      </c>
      <c r="F2838" s="397" t="s">
        <v>52</v>
      </c>
      <c r="G2838" s="185"/>
      <c r="H2838" s="185"/>
      <c r="I2838" s="1223" t="s">
        <v>56</v>
      </c>
      <c r="J2838" s="1224"/>
      <c r="K2838" s="1209" t="s">
        <v>180</v>
      </c>
      <c r="L2838" s="1210"/>
      <c r="M2838" s="50"/>
      <c r="N2838" s="50"/>
      <c r="O2838" s="5"/>
      <c r="P2838" s="9"/>
      <c r="Q2838" s="34"/>
      <c r="R2838" s="5"/>
      <c r="S2838" s="35"/>
      <c r="U2838" s="396"/>
      <c r="V2838" s="396"/>
      <c r="W2838" s="396"/>
    </row>
    <row r="2839" spans="1:25" ht="30" customHeight="1" x14ac:dyDescent="0.35">
      <c r="A2839" s="401" t="s">
        <v>181</v>
      </c>
      <c r="B2839" s="1265" t="s">
        <v>1267</v>
      </c>
      <c r="C2839" s="1265"/>
      <c r="D2839" s="1265"/>
      <c r="E2839" s="531">
        <v>63000</v>
      </c>
      <c r="F2839" s="187">
        <v>510</v>
      </c>
      <c r="G2839" s="532"/>
      <c r="H2839" s="533"/>
      <c r="I2839" s="1217" t="s">
        <v>2860</v>
      </c>
      <c r="J2839" s="1218"/>
      <c r="K2839" s="187">
        <f>+F2839</f>
        <v>510</v>
      </c>
      <c r="L2839" s="401" t="s">
        <v>108</v>
      </c>
      <c r="M2839" s="50"/>
      <c r="N2839" s="50"/>
      <c r="O2839" s="5"/>
      <c r="P2839" s="384"/>
      <c r="Q2839" s="396"/>
      <c r="R2839" s="396"/>
      <c r="S2839" s="396"/>
      <c r="T2839" s="396"/>
    </row>
    <row r="2840" spans="1:25" ht="30" customHeight="1" thickBot="1" x14ac:dyDescent="0.4">
      <c r="A2840" s="755"/>
      <c r="B2840" s="1589"/>
      <c r="C2840" s="1589"/>
      <c r="D2840" s="1589"/>
      <c r="E2840" s="1005"/>
      <c r="F2840" s="1006"/>
      <c r="G2840" s="1006"/>
      <c r="H2840" s="1007"/>
      <c r="I2840" s="114"/>
      <c r="J2840" s="493" t="s">
        <v>37</v>
      </c>
      <c r="K2840" s="115">
        <f>+K2839</f>
        <v>510</v>
      </c>
      <c r="L2840" s="755" t="s">
        <v>108</v>
      </c>
      <c r="M2840" s="50"/>
      <c r="N2840" s="50"/>
      <c r="O2840" s="5"/>
      <c r="P2840" s="384"/>
      <c r="Q2840" s="396"/>
      <c r="R2840" s="396"/>
      <c r="S2840" s="396"/>
      <c r="T2840" s="396"/>
      <c r="V2840" s="396"/>
      <c r="W2840" s="396"/>
    </row>
    <row r="2841" spans="1:25" ht="30" customHeight="1" thickBot="1" x14ac:dyDescent="0.4">
      <c r="A2841" s="1199"/>
      <c r="B2841" s="1200"/>
      <c r="C2841" s="1200"/>
      <c r="D2841" s="1200"/>
      <c r="E2841" s="1200"/>
      <c r="F2841" s="1200"/>
      <c r="G2841" s="1200"/>
      <c r="H2841" s="1200"/>
      <c r="I2841" s="1200"/>
      <c r="J2841" s="1200"/>
      <c r="K2841" s="1200"/>
      <c r="L2841" s="1201"/>
      <c r="M2841" s="50"/>
      <c r="N2841" s="50"/>
      <c r="O2841" s="5"/>
      <c r="P2841" s="384"/>
      <c r="Q2841" s="396"/>
      <c r="R2841" s="396"/>
      <c r="S2841" s="396"/>
      <c r="T2841" s="396"/>
      <c r="V2841" s="396"/>
      <c r="W2841" s="396"/>
    </row>
    <row r="2842" spans="1:25" ht="30" customHeight="1" x14ac:dyDescent="0.35">
      <c r="A2842" s="455" t="s">
        <v>1</v>
      </c>
      <c r="B2842" s="439">
        <v>7213</v>
      </c>
      <c r="C2842" s="1396" t="s">
        <v>1269</v>
      </c>
      <c r="D2842" s="1397"/>
      <c r="E2842" s="456" t="s">
        <v>3</v>
      </c>
      <c r="F2842" s="457" t="s">
        <v>108</v>
      </c>
      <c r="G2842" s="468" t="s">
        <v>38</v>
      </c>
      <c r="H2842" s="347">
        <v>33256.309526315701</v>
      </c>
      <c r="I2842" s="456" t="s">
        <v>5</v>
      </c>
      <c r="J2842" s="1207" t="s">
        <v>2861</v>
      </c>
      <c r="K2842" s="1207"/>
      <c r="L2842" s="1208"/>
      <c r="M2842" s="50"/>
      <c r="N2842" s="50"/>
      <c r="O2842" s="5"/>
      <c r="U2842" s="10"/>
    </row>
    <row r="2843" spans="1:25" ht="30" customHeight="1" x14ac:dyDescent="0.35">
      <c r="A2843" s="185" t="s">
        <v>177</v>
      </c>
      <c r="B2843" s="1651" t="s">
        <v>7</v>
      </c>
      <c r="C2843" s="1652"/>
      <c r="D2843" s="1653"/>
      <c r="E2843" s="492" t="s">
        <v>178</v>
      </c>
      <c r="F2843" s="397" t="s">
        <v>52</v>
      </c>
      <c r="G2843" s="185"/>
      <c r="H2843" s="185"/>
      <c r="I2843" s="1223" t="s">
        <v>56</v>
      </c>
      <c r="J2843" s="1224"/>
      <c r="K2843" s="1209" t="s">
        <v>180</v>
      </c>
      <c r="L2843" s="1210"/>
      <c r="M2843" s="50"/>
      <c r="N2843" s="50"/>
    </row>
    <row r="2844" spans="1:25" ht="30" customHeight="1" x14ac:dyDescent="0.35">
      <c r="A2844" s="401" t="s">
        <v>181</v>
      </c>
      <c r="B2844" s="1389" t="s">
        <v>1270</v>
      </c>
      <c r="C2844" s="1390"/>
      <c r="D2844" s="1391"/>
      <c r="E2844" s="531">
        <v>83000</v>
      </c>
      <c r="F2844" s="187">
        <v>373</v>
      </c>
      <c r="G2844" s="532"/>
      <c r="H2844" s="533"/>
      <c r="I2844" s="1217" t="s">
        <v>2860</v>
      </c>
      <c r="J2844" s="1218"/>
      <c r="K2844" s="187">
        <f>+F2844</f>
        <v>373</v>
      </c>
      <c r="L2844" s="401" t="s">
        <v>108</v>
      </c>
      <c r="M2844" s="50"/>
      <c r="N2844" s="50"/>
      <c r="O2844" s="5"/>
      <c r="U2844" s="10"/>
    </row>
    <row r="2845" spans="1:25" ht="30" customHeight="1" thickBot="1" x14ac:dyDescent="0.4">
      <c r="A2845" s="186"/>
      <c r="B2845" s="1350"/>
      <c r="C2845" s="1351"/>
      <c r="D2845" s="1352"/>
      <c r="E2845" s="1008"/>
      <c r="F2845" s="1009"/>
      <c r="G2845" s="1009"/>
      <c r="H2845" s="1010"/>
      <c r="I2845" s="503"/>
      <c r="J2845" s="494" t="s">
        <v>37</v>
      </c>
      <c r="K2845" s="193">
        <f>+K2844</f>
        <v>373</v>
      </c>
      <c r="L2845" s="186" t="s">
        <v>108</v>
      </c>
      <c r="M2845" s="50"/>
      <c r="N2845" s="50"/>
      <c r="O2845" s="5"/>
      <c r="U2845" s="396"/>
      <c r="X2845" s="396"/>
      <c r="Y2845" s="396"/>
    </row>
    <row r="2846" spans="1:25" s="396" customFormat="1" ht="30" customHeight="1" thickBot="1" x14ac:dyDescent="0.4">
      <c r="A2846" s="385"/>
      <c r="B2846" s="386"/>
      <c r="C2846" s="386"/>
      <c r="D2846" s="386"/>
      <c r="E2846" s="386"/>
      <c r="F2846" s="386"/>
      <c r="G2846" s="386"/>
      <c r="H2846" s="386"/>
      <c r="I2846" s="386"/>
      <c r="J2846" s="386"/>
      <c r="K2846" s="386"/>
      <c r="L2846" s="387"/>
      <c r="M2846" s="50"/>
      <c r="N2846" s="50"/>
      <c r="O2846" s="5"/>
      <c r="P2846" s="384"/>
      <c r="U2846" s="53"/>
      <c r="V2846" s="9"/>
      <c r="W2846" s="9"/>
      <c r="X2846" s="9"/>
      <c r="Y2846" s="9"/>
    </row>
    <row r="2847" spans="1:25" s="396" customFormat="1" ht="30" customHeight="1" x14ac:dyDescent="0.35">
      <c r="A2847" s="388" t="s">
        <v>1</v>
      </c>
      <c r="B2847" s="389">
        <v>7214</v>
      </c>
      <c r="C2847" s="1290" t="s">
        <v>1271</v>
      </c>
      <c r="D2847" s="1291"/>
      <c r="E2847" s="392" t="s">
        <v>3</v>
      </c>
      <c r="F2847" s="393" t="s">
        <v>108</v>
      </c>
      <c r="G2847" s="390" t="s">
        <v>38</v>
      </c>
      <c r="H2847" s="134">
        <v>9642.50861488993</v>
      </c>
      <c r="I2847" s="392" t="s">
        <v>5</v>
      </c>
      <c r="J2847" s="1207" t="s">
        <v>2861</v>
      </c>
      <c r="K2847" s="1207"/>
      <c r="L2847" s="1208"/>
      <c r="M2847" s="50"/>
      <c r="N2847" s="50"/>
      <c r="O2847" s="5"/>
      <c r="P2847" s="14"/>
      <c r="Q2847" s="9"/>
      <c r="R2847" s="9"/>
      <c r="S2847" s="9"/>
      <c r="T2847" s="9"/>
      <c r="U2847" s="10"/>
      <c r="V2847" s="9"/>
      <c r="W2847" s="9"/>
      <c r="X2847" s="9"/>
      <c r="Y2847" s="9"/>
    </row>
    <row r="2848" spans="1:25" s="396" customFormat="1" ht="30" customHeight="1" x14ac:dyDescent="0.35">
      <c r="A2848" s="185" t="s">
        <v>177</v>
      </c>
      <c r="B2848" s="1272" t="s">
        <v>7</v>
      </c>
      <c r="C2848" s="1272"/>
      <c r="D2848" s="1272"/>
      <c r="E2848" s="492" t="s">
        <v>178</v>
      </c>
      <c r="F2848" s="397" t="s">
        <v>52</v>
      </c>
      <c r="G2848" s="185"/>
      <c r="H2848" s="185"/>
      <c r="I2848" s="1223" t="s">
        <v>56</v>
      </c>
      <c r="J2848" s="1224"/>
      <c r="K2848" s="1209" t="s">
        <v>180</v>
      </c>
      <c r="L2848" s="1210"/>
      <c r="M2848" s="50"/>
      <c r="N2848" s="50"/>
      <c r="O2848" s="5"/>
      <c r="P2848" s="14"/>
      <c r="Q2848" s="9"/>
      <c r="R2848" s="9"/>
      <c r="S2848" s="9"/>
      <c r="T2848" s="9"/>
      <c r="U2848" s="9"/>
      <c r="V2848" s="9"/>
      <c r="W2848" s="9"/>
      <c r="X2848" s="9"/>
      <c r="Y2848" s="9"/>
    </row>
    <row r="2849" spans="1:20" ht="30" customHeight="1" x14ac:dyDescent="0.35">
      <c r="A2849" s="401" t="s">
        <v>181</v>
      </c>
      <c r="B2849" s="1265" t="s">
        <v>1272</v>
      </c>
      <c r="C2849" s="1265"/>
      <c r="D2849" s="1265"/>
      <c r="E2849" s="531">
        <v>83000</v>
      </c>
      <c r="F2849" s="187">
        <v>373</v>
      </c>
      <c r="G2849" s="532"/>
      <c r="H2849" s="533"/>
      <c r="I2849" s="1217" t="s">
        <v>2860</v>
      </c>
      <c r="J2849" s="1218"/>
      <c r="K2849" s="187">
        <f>+F2849</f>
        <v>373</v>
      </c>
      <c r="L2849" s="401" t="s">
        <v>108</v>
      </c>
      <c r="M2849" s="50"/>
      <c r="N2849" s="50"/>
      <c r="O2849" s="572"/>
      <c r="T2849" s="53"/>
    </row>
    <row r="2850" spans="1:20" ht="30" customHeight="1" thickBot="1" x14ac:dyDescent="0.4">
      <c r="A2850" s="186"/>
      <c r="B2850" s="1264"/>
      <c r="C2850" s="1264"/>
      <c r="D2850" s="1264"/>
      <c r="E2850" s="535"/>
      <c r="F2850" s="536"/>
      <c r="G2850" s="536"/>
      <c r="H2850" s="537"/>
      <c r="I2850" s="503"/>
      <c r="J2850" s="494" t="s">
        <v>37</v>
      </c>
      <c r="K2850" s="193">
        <f>+K2849</f>
        <v>373</v>
      </c>
      <c r="L2850" s="186" t="s">
        <v>108</v>
      </c>
      <c r="M2850" s="50"/>
      <c r="N2850" s="50"/>
      <c r="O2850" s="15"/>
      <c r="T2850" s="10"/>
    </row>
    <row r="2851" spans="1:20" ht="30" customHeight="1" thickBot="1" x14ac:dyDescent="0.4">
      <c r="A2851" s="385"/>
      <c r="B2851" s="386"/>
      <c r="C2851" s="386"/>
      <c r="D2851" s="386"/>
      <c r="E2851" s="386"/>
      <c r="F2851" s="386"/>
      <c r="G2851" s="386"/>
      <c r="H2851" s="386"/>
      <c r="I2851" s="386"/>
      <c r="J2851" s="386"/>
      <c r="K2851" s="386"/>
      <c r="L2851" s="387"/>
      <c r="M2851" s="50"/>
      <c r="N2851" s="50"/>
      <c r="O2851" s="572"/>
      <c r="P2851" s="9"/>
      <c r="Q2851" s="34"/>
      <c r="R2851" s="5"/>
      <c r="S2851" s="35"/>
      <c r="T2851" s="396"/>
    </row>
    <row r="2852" spans="1:20" ht="30" customHeight="1" x14ac:dyDescent="0.35">
      <c r="A2852" s="388" t="s">
        <v>1</v>
      </c>
      <c r="B2852" s="389">
        <v>7215</v>
      </c>
      <c r="C2852" s="1345" t="s">
        <v>1273</v>
      </c>
      <c r="D2852" s="1346"/>
      <c r="E2852" s="392" t="s">
        <v>3</v>
      </c>
      <c r="F2852" s="393" t="s">
        <v>108</v>
      </c>
      <c r="G2852" s="390" t="s">
        <v>38</v>
      </c>
      <c r="H2852" s="660">
        <v>63678</v>
      </c>
      <c r="I2852" s="392" t="s">
        <v>5</v>
      </c>
      <c r="J2852" s="1207" t="s">
        <v>2874</v>
      </c>
      <c r="K2852" s="1207"/>
      <c r="L2852" s="1208"/>
      <c r="M2852" s="50"/>
      <c r="N2852" s="50"/>
      <c r="O2852" s="572"/>
      <c r="P2852" s="9"/>
      <c r="Q2852" s="34"/>
      <c r="R2852" s="5"/>
      <c r="S2852" s="35"/>
    </row>
    <row r="2853" spans="1:20" ht="30" customHeight="1" x14ac:dyDescent="0.35">
      <c r="A2853" s="494" t="s">
        <v>187</v>
      </c>
      <c r="B2853" s="1280" t="s">
        <v>211</v>
      </c>
      <c r="C2853" s="1281"/>
      <c r="D2853" s="1282"/>
      <c r="E2853" s="566" t="s">
        <v>52</v>
      </c>
      <c r="F2853" s="566" t="s">
        <v>53</v>
      </c>
      <c r="G2853" s="1219" t="s">
        <v>54</v>
      </c>
      <c r="H2853" s="1220"/>
      <c r="I2853" s="185" t="s">
        <v>188</v>
      </c>
      <c r="J2853" s="185"/>
      <c r="K2853" s="399" t="s">
        <v>180</v>
      </c>
      <c r="L2853" s="400"/>
      <c r="M2853" s="50"/>
      <c r="N2853" s="50"/>
      <c r="O2853" s="527"/>
      <c r="P2853" s="9"/>
      <c r="Q2853" s="34"/>
      <c r="R2853" s="5"/>
      <c r="S2853" s="35"/>
    </row>
    <row r="2854" spans="1:20" ht="30" customHeight="1" x14ac:dyDescent="0.35">
      <c r="A2854" s="186" t="s">
        <v>1274</v>
      </c>
      <c r="B2854" s="1212" t="s">
        <v>1275</v>
      </c>
      <c r="C2854" s="1213"/>
      <c r="D2854" s="1214"/>
      <c r="E2854" s="194">
        <v>262</v>
      </c>
      <c r="F2854" s="422" t="s">
        <v>108</v>
      </c>
      <c r="G2854" s="707"/>
      <c r="H2854" s="708"/>
      <c r="I2854" s="186">
        <v>1.1200000000000001</v>
      </c>
      <c r="J2854" s="204"/>
      <c r="K2854" s="194">
        <f>+E2854*I2854</f>
        <v>293.44000000000005</v>
      </c>
      <c r="L2854" s="186" t="s">
        <v>108</v>
      </c>
      <c r="M2854" s="50"/>
      <c r="N2854" s="96"/>
      <c r="O2854" s="5"/>
      <c r="P2854" s="9"/>
      <c r="Q2854" s="34"/>
      <c r="R2854" s="5"/>
      <c r="S2854" s="35"/>
    </row>
    <row r="2855" spans="1:20" ht="30" customHeight="1" x14ac:dyDescent="0.35">
      <c r="A2855" s="186" t="s">
        <v>285</v>
      </c>
      <c r="B2855" s="1202" t="s">
        <v>1276</v>
      </c>
      <c r="C2855" s="1203"/>
      <c r="D2855" s="1203"/>
      <c r="E2855" s="194">
        <v>3.51</v>
      </c>
      <c r="F2855" s="127" t="s">
        <v>108</v>
      </c>
      <c r="G2855" s="707"/>
      <c r="H2855" s="708"/>
      <c r="I2855" s="186">
        <v>1.1200000000000001</v>
      </c>
      <c r="J2855" s="204"/>
      <c r="K2855" s="194">
        <f>+E2855*I2855</f>
        <v>3.9312</v>
      </c>
      <c r="L2855" s="186" t="s">
        <v>108</v>
      </c>
      <c r="M2855" s="50"/>
      <c r="N2855" s="50"/>
      <c r="O2855" s="64"/>
      <c r="P2855" s="9"/>
      <c r="Q2855" s="34"/>
      <c r="R2855" s="5"/>
      <c r="S2855" s="35"/>
    </row>
    <row r="2856" spans="1:20" ht="30" customHeight="1" x14ac:dyDescent="0.35">
      <c r="A2856" s="186" t="s">
        <v>268</v>
      </c>
      <c r="B2856" s="1202" t="s">
        <v>1277</v>
      </c>
      <c r="C2856" s="1203"/>
      <c r="D2856" s="1204"/>
      <c r="E2856" s="209">
        <f>(27.5+42.75)/2</f>
        <v>35.125</v>
      </c>
      <c r="F2856" s="707" t="s">
        <v>108</v>
      </c>
      <c r="G2856" s="707">
        <v>162</v>
      </c>
      <c r="H2856" s="708" t="s">
        <v>108</v>
      </c>
      <c r="I2856" s="186">
        <v>0.99</v>
      </c>
      <c r="J2856" s="204"/>
      <c r="K2856" s="194">
        <f t="shared" ref="K2856:K2861" si="61">+E2856*G2856*I2856/$H$2852</f>
        <v>8.8466150004711197E-2</v>
      </c>
      <c r="L2856" s="186" t="s">
        <v>108</v>
      </c>
      <c r="M2856" s="50"/>
      <c r="N2856" s="50"/>
      <c r="O2856" s="64"/>
      <c r="P2856" s="9"/>
      <c r="Q2856" s="34"/>
      <c r="R2856" s="5"/>
      <c r="S2856" s="35"/>
    </row>
    <row r="2857" spans="1:20" ht="30" customHeight="1" x14ac:dyDescent="0.35">
      <c r="A2857" s="186" t="s">
        <v>268</v>
      </c>
      <c r="B2857" s="1202" t="s">
        <v>1278</v>
      </c>
      <c r="C2857" s="1203"/>
      <c r="D2857" s="1204"/>
      <c r="E2857" s="209">
        <f>(2320+3275)/2</f>
        <v>2797.5</v>
      </c>
      <c r="F2857" s="707" t="s">
        <v>40</v>
      </c>
      <c r="G2857" s="707">
        <v>2</v>
      </c>
      <c r="H2857" s="708" t="s">
        <v>40</v>
      </c>
      <c r="I2857" s="186">
        <v>0.99</v>
      </c>
      <c r="J2857" s="204"/>
      <c r="K2857" s="194">
        <f t="shared" si="61"/>
        <v>8.6985301045887128E-2</v>
      </c>
      <c r="L2857" s="186" t="s">
        <v>108</v>
      </c>
      <c r="M2857" s="50"/>
      <c r="N2857" s="50"/>
      <c r="O2857" s="64"/>
      <c r="P2857" s="9"/>
      <c r="Q2857" s="34"/>
      <c r="R2857" s="5"/>
      <c r="S2857" s="35"/>
    </row>
    <row r="2858" spans="1:20" ht="30" customHeight="1" x14ac:dyDescent="0.35">
      <c r="A2858" s="186" t="s">
        <v>271</v>
      </c>
      <c r="B2858" s="1202" t="s">
        <v>1279</v>
      </c>
      <c r="C2858" s="1203"/>
      <c r="D2858" s="1204"/>
      <c r="E2858" s="194">
        <f>(42.75+102)/2</f>
        <v>72.375</v>
      </c>
      <c r="F2858" s="707" t="s">
        <v>40</v>
      </c>
      <c r="G2858" s="707">
        <f>2*10</f>
        <v>20</v>
      </c>
      <c r="H2858" s="708" t="s">
        <v>40</v>
      </c>
      <c r="I2858" s="186">
        <v>1.1000000000000001</v>
      </c>
      <c r="J2858" s="204"/>
      <c r="K2858" s="194">
        <f t="shared" si="61"/>
        <v>2.5004711203241312E-2</v>
      </c>
      <c r="L2858" s="186" t="s">
        <v>108</v>
      </c>
      <c r="M2858" s="50"/>
      <c r="N2858" s="50"/>
      <c r="O2858" s="64"/>
      <c r="P2858" s="9"/>
      <c r="Q2858" s="34"/>
      <c r="R2858" s="5"/>
      <c r="S2858" s="35"/>
    </row>
    <row r="2859" spans="1:20" ht="30" customHeight="1" x14ac:dyDescent="0.35">
      <c r="A2859" s="186" t="s">
        <v>271</v>
      </c>
      <c r="B2859" s="1202" t="s">
        <v>272</v>
      </c>
      <c r="C2859" s="1203"/>
      <c r="D2859" s="1204"/>
      <c r="E2859" s="194">
        <f>(8000+15300)/2</f>
        <v>11650</v>
      </c>
      <c r="F2859" s="707" t="s">
        <v>40</v>
      </c>
      <c r="G2859" s="707">
        <v>2</v>
      </c>
      <c r="H2859" s="708" t="s">
        <v>40</v>
      </c>
      <c r="I2859" s="186">
        <v>1.1000000000000001</v>
      </c>
      <c r="J2859" s="204"/>
      <c r="K2859" s="194">
        <f t="shared" si="61"/>
        <v>0.40249379691573234</v>
      </c>
      <c r="L2859" s="186" t="s">
        <v>108</v>
      </c>
      <c r="M2859" s="50"/>
      <c r="N2859" s="50"/>
      <c r="O2859" s="64"/>
      <c r="P2859" s="9"/>
      <c r="Q2859" s="34"/>
      <c r="R2859" s="5"/>
      <c r="S2859" s="35"/>
    </row>
    <row r="2860" spans="1:20" ht="30" customHeight="1" x14ac:dyDescent="0.35">
      <c r="A2860" s="186" t="s">
        <v>271</v>
      </c>
      <c r="B2860" s="1202" t="s">
        <v>853</v>
      </c>
      <c r="C2860" s="1203"/>
      <c r="D2860" s="1204"/>
      <c r="E2860" s="194">
        <f>(820+1260)/2</f>
        <v>1040</v>
      </c>
      <c r="F2860" s="707" t="s">
        <v>40</v>
      </c>
      <c r="G2860" s="707">
        <v>2</v>
      </c>
      <c r="H2860" s="708" t="s">
        <v>40</v>
      </c>
      <c r="I2860" s="186">
        <v>1.1000000000000001</v>
      </c>
      <c r="J2860" s="204"/>
      <c r="K2860" s="194">
        <f t="shared" si="61"/>
        <v>3.5930776720374383E-2</v>
      </c>
      <c r="L2860" s="186" t="s">
        <v>108</v>
      </c>
      <c r="M2860" s="50"/>
      <c r="N2860" s="50"/>
      <c r="P2860" s="9"/>
      <c r="Q2860" s="34"/>
      <c r="R2860" s="5"/>
      <c r="S2860" s="35"/>
    </row>
    <row r="2861" spans="1:20" ht="30" customHeight="1" x14ac:dyDescent="0.35">
      <c r="A2861" s="186" t="s">
        <v>271</v>
      </c>
      <c r="B2861" s="1202" t="s">
        <v>273</v>
      </c>
      <c r="C2861" s="1203"/>
      <c r="D2861" s="1204"/>
      <c r="E2861" s="194">
        <f>+(1440+4300)/2</f>
        <v>2870</v>
      </c>
      <c r="F2861" s="707" t="s">
        <v>40</v>
      </c>
      <c r="G2861" s="707">
        <v>2</v>
      </c>
      <c r="H2861" s="708" t="s">
        <v>40</v>
      </c>
      <c r="I2861" s="186">
        <v>1.1000000000000001</v>
      </c>
      <c r="J2861" s="204"/>
      <c r="K2861" s="194">
        <f t="shared" si="61"/>
        <v>9.9155124218725479E-2</v>
      </c>
      <c r="L2861" s="186" t="s">
        <v>108</v>
      </c>
      <c r="M2861" s="50"/>
      <c r="N2861" s="50"/>
      <c r="P2861" s="9"/>
      <c r="Q2861" s="34"/>
      <c r="R2861" s="5"/>
      <c r="S2861" s="35"/>
    </row>
    <row r="2862" spans="1:20" ht="30" customHeight="1" x14ac:dyDescent="0.35">
      <c r="A2862" s="985"/>
      <c r="B2862" s="1211"/>
      <c r="C2862" s="1211"/>
      <c r="D2862" s="1211"/>
      <c r="E2862" s="194"/>
      <c r="F2862" s="186"/>
      <c r="G2862" s="186"/>
      <c r="H2862" s="186"/>
      <c r="I2862" s="186"/>
      <c r="J2862" s="186" t="s">
        <v>223</v>
      </c>
      <c r="K2862" s="194">
        <f>SUM(K2854:K2861)</f>
        <v>298.1092358601087</v>
      </c>
      <c r="L2862" s="186" t="s">
        <v>108</v>
      </c>
      <c r="M2862" s="50"/>
      <c r="N2862" s="50"/>
      <c r="P2862" s="9"/>
      <c r="Q2862" s="34"/>
      <c r="R2862" s="5"/>
      <c r="S2862" s="35"/>
    </row>
    <row r="2863" spans="1:20" ht="30" customHeight="1" x14ac:dyDescent="0.35">
      <c r="A2863" s="186"/>
      <c r="B2863" s="567"/>
      <c r="C2863" s="567"/>
      <c r="D2863" s="567"/>
      <c r="E2863" s="194"/>
      <c r="F2863" s="1215" t="s">
        <v>195</v>
      </c>
      <c r="G2863" s="1273" t="s">
        <v>196</v>
      </c>
      <c r="H2863" s="1273"/>
      <c r="I2863" s="1273"/>
      <c r="J2863" s="1273"/>
      <c r="K2863" s="196">
        <v>1.07</v>
      </c>
      <c r="L2863" s="186"/>
      <c r="M2863" s="50"/>
      <c r="N2863" s="50"/>
      <c r="P2863" s="9"/>
      <c r="Q2863" s="34"/>
      <c r="R2863" s="5"/>
      <c r="S2863" s="35"/>
    </row>
    <row r="2864" spans="1:20" ht="30" customHeight="1" x14ac:dyDescent="0.35">
      <c r="A2864" s="186"/>
      <c r="B2864" s="567"/>
      <c r="C2864" s="567"/>
      <c r="D2864" s="567"/>
      <c r="E2864" s="194"/>
      <c r="F2864" s="1216"/>
      <c r="G2864" s="1268" t="s">
        <v>2875</v>
      </c>
      <c r="H2864" s="1268"/>
      <c r="I2864" s="1268"/>
      <c r="J2864" s="1268"/>
      <c r="K2864" s="196">
        <v>1.07</v>
      </c>
      <c r="L2864" s="186"/>
      <c r="M2864" s="50"/>
      <c r="N2864" s="50"/>
      <c r="P2864" s="9"/>
      <c r="Q2864" s="34"/>
      <c r="R2864" s="5"/>
      <c r="S2864" s="35"/>
    </row>
    <row r="2865" spans="1:23" ht="30" customHeight="1" x14ac:dyDescent="0.35">
      <c r="A2865" s="186"/>
      <c r="B2865" s="186"/>
      <c r="C2865" s="503"/>
      <c r="D2865" s="503"/>
      <c r="E2865" s="503"/>
      <c r="F2865" s="503"/>
      <c r="G2865" s="503"/>
      <c r="H2865" s="503"/>
      <c r="I2865" s="503"/>
      <c r="J2865" s="503" t="s">
        <v>37</v>
      </c>
      <c r="K2865" s="193">
        <f>+K2862*K2863/K2864</f>
        <v>298.1092358601087</v>
      </c>
      <c r="L2865" s="186" t="s">
        <v>108</v>
      </c>
      <c r="M2865" s="50"/>
      <c r="N2865" s="50"/>
      <c r="O2865" s="5"/>
      <c r="P2865" s="9"/>
      <c r="Q2865" s="34"/>
      <c r="R2865" s="5"/>
      <c r="S2865" s="35"/>
    </row>
    <row r="2866" spans="1:23" ht="30" customHeight="1" x14ac:dyDescent="0.35">
      <c r="A2866" s="186"/>
      <c r="B2866" s="186"/>
      <c r="C2866" s="503"/>
      <c r="D2866" s="503"/>
      <c r="E2866" s="503"/>
      <c r="F2866" s="503"/>
      <c r="G2866" s="1194" t="s">
        <v>257</v>
      </c>
      <c r="H2866" s="1195"/>
      <c r="I2866" s="1196"/>
      <c r="J2866" s="560">
        <f>VLOOKUP(B2852,'Mil Cost Premiums for PUCs'!$A$4:$R$285,18,FALSE)</f>
        <v>1.3319480854780448</v>
      </c>
      <c r="K2866" s="193">
        <f>+K2865*J2866</f>
        <v>397.06602596719466</v>
      </c>
      <c r="L2866" s="186" t="s">
        <v>108</v>
      </c>
      <c r="M2866" s="50"/>
      <c r="N2866" s="50"/>
      <c r="P2866" s="9"/>
      <c r="Q2866" s="34"/>
      <c r="R2866" s="5"/>
      <c r="S2866" s="35"/>
    </row>
    <row r="2867" spans="1:23" ht="30" customHeight="1" x14ac:dyDescent="0.35">
      <c r="A2867" s="1274" t="s">
        <v>198</v>
      </c>
      <c r="B2867" s="1275"/>
      <c r="C2867" s="1275"/>
      <c r="D2867" s="1275"/>
      <c r="E2867" s="1275"/>
      <c r="F2867" s="1275"/>
      <c r="G2867" s="1275"/>
      <c r="H2867" s="1275"/>
      <c r="I2867" s="1275"/>
      <c r="J2867" s="1275"/>
      <c r="K2867" s="1275"/>
      <c r="L2867" s="1276"/>
      <c r="N2867" s="50"/>
      <c r="O2867" s="5"/>
      <c r="P2867" s="9"/>
      <c r="Q2867" s="34"/>
      <c r="R2867" s="5"/>
      <c r="S2867" s="35"/>
    </row>
    <row r="2868" spans="1:23" ht="30" customHeight="1" x14ac:dyDescent="0.35">
      <c r="A2868" s="1389" t="s">
        <v>199</v>
      </c>
      <c r="B2868" s="1390"/>
      <c r="C2868" s="1391"/>
      <c r="D2868" s="1274" t="s">
        <v>1280</v>
      </c>
      <c r="E2868" s="1275"/>
      <c r="F2868" s="1275"/>
      <c r="G2868" s="1275"/>
      <c r="H2868" s="1275"/>
      <c r="I2868" s="1275"/>
      <c r="J2868" s="1275"/>
      <c r="K2868" s="1275"/>
      <c r="L2868" s="1276"/>
      <c r="M2868" s="50"/>
      <c r="N2868" s="50"/>
    </row>
    <row r="2869" spans="1:23" ht="30" customHeight="1" x14ac:dyDescent="0.35">
      <c r="A2869" s="1389" t="s">
        <v>200</v>
      </c>
      <c r="B2869" s="1390"/>
      <c r="C2869" s="1391"/>
      <c r="D2869" s="1274" t="s">
        <v>1281</v>
      </c>
      <c r="E2869" s="1275"/>
      <c r="F2869" s="1275"/>
      <c r="G2869" s="1275"/>
      <c r="H2869" s="1275"/>
      <c r="I2869" s="1275"/>
      <c r="J2869" s="1275"/>
      <c r="K2869" s="1275"/>
      <c r="L2869" s="1276"/>
      <c r="M2869" s="50"/>
      <c r="N2869" s="50"/>
      <c r="O2869" s="5"/>
      <c r="P2869" s="9"/>
      <c r="Q2869" s="34"/>
      <c r="R2869" s="5"/>
      <c r="S2869" s="35"/>
    </row>
    <row r="2870" spans="1:23" ht="30" customHeight="1" x14ac:dyDescent="0.35">
      <c r="A2870" s="1389" t="s">
        <v>201</v>
      </c>
      <c r="B2870" s="1390"/>
      <c r="C2870" s="1391"/>
      <c r="D2870" s="1274" t="s">
        <v>1282</v>
      </c>
      <c r="E2870" s="1275"/>
      <c r="F2870" s="1275"/>
      <c r="G2870" s="1275"/>
      <c r="H2870" s="1275"/>
      <c r="I2870" s="1275"/>
      <c r="J2870" s="1275"/>
      <c r="K2870" s="1275"/>
      <c r="L2870" s="1276"/>
      <c r="M2870" s="50"/>
      <c r="N2870" s="50"/>
      <c r="O2870" s="5"/>
      <c r="P2870" s="9"/>
      <c r="Q2870" s="34"/>
      <c r="R2870" s="5"/>
      <c r="S2870" s="35"/>
    </row>
    <row r="2871" spans="1:23" ht="30" customHeight="1" x14ac:dyDescent="0.35">
      <c r="A2871" s="1389" t="s">
        <v>202</v>
      </c>
      <c r="B2871" s="1390"/>
      <c r="C2871" s="1391"/>
      <c r="D2871" s="1274" t="s">
        <v>1283</v>
      </c>
      <c r="E2871" s="1275"/>
      <c r="F2871" s="1275"/>
      <c r="G2871" s="1275"/>
      <c r="H2871" s="1275"/>
      <c r="I2871" s="1275"/>
      <c r="J2871" s="1275"/>
      <c r="K2871" s="1275"/>
      <c r="L2871" s="1276"/>
      <c r="M2871" s="50"/>
      <c r="N2871" s="50"/>
      <c r="O2871" s="5"/>
      <c r="P2871" s="9"/>
      <c r="Q2871" s="34"/>
      <c r="R2871" s="5"/>
      <c r="S2871" s="35"/>
    </row>
    <row r="2872" spans="1:23" ht="30" customHeight="1" x14ac:dyDescent="0.35">
      <c r="A2872" s="1389" t="s">
        <v>203</v>
      </c>
      <c r="B2872" s="1390"/>
      <c r="C2872" s="1391"/>
      <c r="D2872" s="1274" t="s">
        <v>1284</v>
      </c>
      <c r="E2872" s="1275"/>
      <c r="F2872" s="1275"/>
      <c r="G2872" s="1275"/>
      <c r="H2872" s="1275"/>
      <c r="I2872" s="1275"/>
      <c r="J2872" s="1275"/>
      <c r="K2872" s="1275"/>
      <c r="L2872" s="1276"/>
      <c r="M2872" s="50"/>
      <c r="O2872" s="5"/>
      <c r="P2872" s="9"/>
      <c r="Q2872" s="34"/>
      <c r="R2872" s="5"/>
      <c r="S2872" s="35"/>
    </row>
    <row r="2873" spans="1:23" ht="30" customHeight="1" x14ac:dyDescent="0.35">
      <c r="A2873" s="1389" t="s">
        <v>205</v>
      </c>
      <c r="B2873" s="1390"/>
      <c r="C2873" s="1391"/>
      <c r="D2873" s="1274" t="s">
        <v>206</v>
      </c>
      <c r="E2873" s="1275"/>
      <c r="F2873" s="1275"/>
      <c r="G2873" s="1275"/>
      <c r="H2873" s="1275"/>
      <c r="I2873" s="1275"/>
      <c r="J2873" s="1275"/>
      <c r="K2873" s="1275"/>
      <c r="L2873" s="1276"/>
      <c r="M2873" s="50"/>
      <c r="N2873" s="50"/>
      <c r="O2873" s="5"/>
      <c r="P2873" s="9"/>
      <c r="Q2873" s="34"/>
      <c r="R2873" s="5"/>
      <c r="S2873" s="35"/>
    </row>
    <row r="2874" spans="1:23" ht="30" customHeight="1" x14ac:dyDescent="0.35">
      <c r="A2874" s="1389" t="s">
        <v>207</v>
      </c>
      <c r="B2874" s="1390"/>
      <c r="C2874" s="1391"/>
      <c r="D2874" s="1274" t="s">
        <v>1285</v>
      </c>
      <c r="E2874" s="1275"/>
      <c r="F2874" s="1275"/>
      <c r="G2874" s="1275"/>
      <c r="H2874" s="1275"/>
      <c r="I2874" s="1275"/>
      <c r="J2874" s="1275"/>
      <c r="K2874" s="1275"/>
      <c r="L2874" s="1276"/>
      <c r="M2874" s="50"/>
      <c r="N2874" s="50"/>
    </row>
    <row r="2875" spans="1:23" ht="30" customHeight="1" x14ac:dyDescent="0.35">
      <c r="A2875" s="1389" t="s">
        <v>208</v>
      </c>
      <c r="B2875" s="1390"/>
      <c r="C2875" s="1391"/>
      <c r="D2875" s="1274" t="s">
        <v>265</v>
      </c>
      <c r="E2875" s="1275"/>
      <c r="F2875" s="1275"/>
      <c r="G2875" s="1275"/>
      <c r="H2875" s="1275"/>
      <c r="I2875" s="1275"/>
      <c r="J2875" s="1275"/>
      <c r="K2875" s="1275"/>
      <c r="L2875" s="1276"/>
      <c r="M2875" s="50"/>
      <c r="N2875" s="50"/>
      <c r="V2875" s="396"/>
      <c r="W2875" s="396"/>
    </row>
    <row r="2876" spans="1:23" ht="30" customHeight="1" thickBot="1" x14ac:dyDescent="0.4">
      <c r="A2876" s="1793" t="s">
        <v>224</v>
      </c>
      <c r="B2876" s="1794"/>
      <c r="C2876" s="1795"/>
      <c r="D2876" s="1320" t="s">
        <v>2449</v>
      </c>
      <c r="E2876" s="1321"/>
      <c r="F2876" s="1321"/>
      <c r="G2876" s="1321"/>
      <c r="H2876" s="1321"/>
      <c r="I2876" s="1321"/>
      <c r="J2876" s="1321"/>
      <c r="K2876" s="1321"/>
      <c r="L2876" s="1322"/>
      <c r="M2876" s="50"/>
      <c r="N2876" s="50"/>
      <c r="T2876" s="53"/>
      <c r="U2876" s="53"/>
    </row>
    <row r="2877" spans="1:23" ht="30" customHeight="1" thickBot="1" x14ac:dyDescent="0.4">
      <c r="A2877" s="1429"/>
      <c r="B2877" s="1430"/>
      <c r="C2877" s="1430"/>
      <c r="D2877" s="1430"/>
      <c r="E2877" s="1430"/>
      <c r="F2877" s="1430"/>
      <c r="G2877" s="1430"/>
      <c r="H2877" s="1430"/>
      <c r="I2877" s="1430"/>
      <c r="J2877" s="1430"/>
      <c r="K2877" s="1430"/>
      <c r="L2877" s="1431"/>
      <c r="M2877" s="50"/>
      <c r="N2877" s="50"/>
      <c r="T2877" s="53"/>
      <c r="U2877" s="53"/>
    </row>
    <row r="2878" spans="1:23" ht="30" customHeight="1" x14ac:dyDescent="0.35">
      <c r="A2878" s="455" t="s">
        <v>1</v>
      </c>
      <c r="B2878" s="439">
        <v>7218</v>
      </c>
      <c r="C2878" s="1396" t="s">
        <v>1286</v>
      </c>
      <c r="D2878" s="1397"/>
      <c r="E2878" s="456" t="s">
        <v>3</v>
      </c>
      <c r="F2878" s="457" t="s">
        <v>108</v>
      </c>
      <c r="G2878" s="468" t="s">
        <v>38</v>
      </c>
      <c r="H2878" s="262">
        <v>28980.481983695601</v>
      </c>
      <c r="I2878" s="456" t="s">
        <v>5</v>
      </c>
      <c r="J2878" s="1207" t="s">
        <v>2861</v>
      </c>
      <c r="K2878" s="1207"/>
      <c r="L2878" s="1208"/>
      <c r="M2878" s="50"/>
      <c r="N2878" s="50"/>
      <c r="T2878" s="53"/>
      <c r="U2878" s="53"/>
    </row>
    <row r="2879" spans="1:23" ht="30" customHeight="1" x14ac:dyDescent="0.35">
      <c r="A2879" s="185" t="s">
        <v>177</v>
      </c>
      <c r="B2879" s="1272" t="s">
        <v>7</v>
      </c>
      <c r="C2879" s="1272"/>
      <c r="D2879" s="1272"/>
      <c r="E2879" s="492" t="s">
        <v>178</v>
      </c>
      <c r="F2879" s="397" t="s">
        <v>52</v>
      </c>
      <c r="G2879" s="185"/>
      <c r="H2879" s="185"/>
      <c r="I2879" s="1223" t="s">
        <v>56</v>
      </c>
      <c r="J2879" s="1224"/>
      <c r="K2879" s="1209" t="s">
        <v>180</v>
      </c>
      <c r="L2879" s="1210"/>
      <c r="M2879" s="50"/>
      <c r="N2879" s="50"/>
      <c r="T2879" s="10"/>
      <c r="U2879" s="10"/>
    </row>
    <row r="2880" spans="1:23" ht="30" customHeight="1" x14ac:dyDescent="0.35">
      <c r="A2880" s="401" t="s">
        <v>181</v>
      </c>
      <c r="B2880" s="1265" t="s">
        <v>1287</v>
      </c>
      <c r="C2880" s="1265"/>
      <c r="D2880" s="1265"/>
      <c r="E2880" s="531">
        <v>83000</v>
      </c>
      <c r="F2880" s="187">
        <v>373</v>
      </c>
      <c r="G2880" s="532"/>
      <c r="H2880" s="533"/>
      <c r="I2880" s="1217" t="s">
        <v>2860</v>
      </c>
      <c r="J2880" s="1218"/>
      <c r="K2880" s="187">
        <f>+F2880</f>
        <v>373</v>
      </c>
      <c r="L2880" s="401" t="s">
        <v>108</v>
      </c>
      <c r="M2880" s="50"/>
      <c r="N2880" s="50"/>
      <c r="O2880" s="572"/>
      <c r="P2880" s="384"/>
      <c r="Q2880" s="396"/>
      <c r="R2880" s="396"/>
      <c r="S2880" s="396"/>
      <c r="T2880" s="396"/>
      <c r="U2880" s="396"/>
    </row>
    <row r="2881" spans="1:19" ht="30" customHeight="1" thickBot="1" x14ac:dyDescent="0.4">
      <c r="A2881" s="186"/>
      <c r="B2881" s="1264"/>
      <c r="C2881" s="1264"/>
      <c r="D2881" s="1264"/>
      <c r="E2881" s="535"/>
      <c r="F2881" s="536"/>
      <c r="G2881" s="536"/>
      <c r="H2881" s="537"/>
      <c r="I2881" s="503"/>
      <c r="J2881" s="494" t="s">
        <v>37</v>
      </c>
      <c r="K2881" s="193">
        <f>+K2880</f>
        <v>373</v>
      </c>
      <c r="L2881" s="186" t="s">
        <v>108</v>
      </c>
      <c r="M2881" s="50"/>
      <c r="N2881" s="50"/>
      <c r="O2881" s="5"/>
      <c r="P2881" s="9"/>
      <c r="Q2881" s="34"/>
      <c r="R2881" s="5"/>
      <c r="S2881" s="35"/>
    </row>
    <row r="2882" spans="1:19" ht="30" customHeight="1" thickBot="1" x14ac:dyDescent="0.4">
      <c r="A2882" s="385"/>
      <c r="B2882" s="386"/>
      <c r="C2882" s="386"/>
      <c r="D2882" s="386"/>
      <c r="E2882" s="386"/>
      <c r="F2882" s="386"/>
      <c r="G2882" s="386"/>
      <c r="H2882" s="386"/>
      <c r="I2882" s="386"/>
      <c r="J2882" s="386"/>
      <c r="K2882" s="386"/>
      <c r="L2882" s="387"/>
      <c r="M2882" s="50"/>
      <c r="N2882" s="50"/>
      <c r="O2882" s="15"/>
      <c r="P2882" s="466"/>
      <c r="Q2882" s="384"/>
      <c r="R2882" s="384"/>
      <c r="S2882" s="1012"/>
    </row>
    <row r="2883" spans="1:19" ht="30" customHeight="1" x14ac:dyDescent="0.35">
      <c r="A2883" s="388" t="s">
        <v>1</v>
      </c>
      <c r="B2883" s="389">
        <v>7220</v>
      </c>
      <c r="C2883" s="1290" t="s">
        <v>1288</v>
      </c>
      <c r="D2883" s="1291"/>
      <c r="E2883" s="392" t="s">
        <v>3</v>
      </c>
      <c r="F2883" s="393" t="s">
        <v>108</v>
      </c>
      <c r="G2883" s="390" t="s">
        <v>38</v>
      </c>
      <c r="H2883" s="195">
        <v>18223.3343120393</v>
      </c>
      <c r="I2883" s="392" t="s">
        <v>5</v>
      </c>
      <c r="J2883" s="1207" t="s">
        <v>2861</v>
      </c>
      <c r="K2883" s="1207"/>
      <c r="L2883" s="1208"/>
      <c r="M2883" s="50"/>
      <c r="N2883" s="50"/>
      <c r="O2883" s="5"/>
      <c r="P2883" s="9"/>
      <c r="Q2883" s="34"/>
      <c r="R2883" s="5"/>
      <c r="S2883" s="35"/>
    </row>
    <row r="2884" spans="1:19" ht="30" customHeight="1" x14ac:dyDescent="0.35">
      <c r="A2884" s="185" t="s">
        <v>177</v>
      </c>
      <c r="B2884" s="1272" t="s">
        <v>7</v>
      </c>
      <c r="C2884" s="1272"/>
      <c r="D2884" s="1272"/>
      <c r="E2884" s="492" t="s">
        <v>178</v>
      </c>
      <c r="F2884" s="397" t="s">
        <v>52</v>
      </c>
      <c r="G2884" s="185"/>
      <c r="H2884" s="185"/>
      <c r="I2884" s="1223" t="s">
        <v>56</v>
      </c>
      <c r="J2884" s="1224"/>
      <c r="K2884" s="1209" t="s">
        <v>180</v>
      </c>
      <c r="L2884" s="1210"/>
      <c r="M2884" s="50"/>
      <c r="O2884" s="5"/>
      <c r="P2884" s="9"/>
      <c r="Q2884" s="34"/>
      <c r="R2884" s="5"/>
      <c r="S2884" s="35"/>
    </row>
    <row r="2885" spans="1:19" ht="30" customHeight="1" x14ac:dyDescent="0.35">
      <c r="A2885" s="401" t="s">
        <v>181</v>
      </c>
      <c r="B2885" s="1389" t="s">
        <v>1289</v>
      </c>
      <c r="C2885" s="1390"/>
      <c r="D2885" s="1391"/>
      <c r="E2885" s="531">
        <v>41000</v>
      </c>
      <c r="F2885" s="187">
        <v>751</v>
      </c>
      <c r="G2885" s="532"/>
      <c r="H2885" s="533"/>
      <c r="I2885" s="1217" t="s">
        <v>2860</v>
      </c>
      <c r="J2885" s="1218"/>
      <c r="K2885" s="187">
        <f>+F2885</f>
        <v>751</v>
      </c>
      <c r="L2885" s="401" t="s">
        <v>108</v>
      </c>
      <c r="M2885" s="50"/>
      <c r="N2885" s="50"/>
      <c r="O2885" s="5"/>
      <c r="P2885" s="9"/>
      <c r="Q2885" s="34"/>
      <c r="R2885" s="5"/>
      <c r="S2885" s="35"/>
    </row>
    <row r="2886" spans="1:19" ht="30" customHeight="1" thickBot="1" x14ac:dyDescent="0.4">
      <c r="A2886" s="186"/>
      <c r="B2886" s="1350"/>
      <c r="C2886" s="1351"/>
      <c r="D2886" s="1352"/>
      <c r="E2886" s="1008"/>
      <c r="F2886" s="1009"/>
      <c r="G2886" s="1009"/>
      <c r="H2886" s="1010"/>
      <c r="I2886" s="503"/>
      <c r="J2886" s="494" t="s">
        <v>37</v>
      </c>
      <c r="K2886" s="193">
        <f>+K2885</f>
        <v>751</v>
      </c>
      <c r="L2886" s="186" t="s">
        <v>108</v>
      </c>
      <c r="M2886" s="50"/>
      <c r="N2886" s="50"/>
    </row>
    <row r="2887" spans="1:19" ht="30" customHeight="1" thickBot="1" x14ac:dyDescent="0.4">
      <c r="A2887" s="385"/>
      <c r="B2887" s="386"/>
      <c r="C2887" s="386"/>
      <c r="D2887" s="386"/>
      <c r="E2887" s="386"/>
      <c r="F2887" s="386"/>
      <c r="G2887" s="386"/>
      <c r="H2887" s="386"/>
      <c r="I2887" s="386"/>
      <c r="J2887" s="386"/>
      <c r="K2887" s="386"/>
      <c r="L2887" s="387"/>
      <c r="M2887" s="50"/>
      <c r="N2887" s="50"/>
      <c r="O2887" s="5"/>
      <c r="P2887" s="9"/>
      <c r="Q2887" s="34"/>
      <c r="R2887" s="5"/>
      <c r="S2887" s="35"/>
    </row>
    <row r="2888" spans="1:19" ht="30" customHeight="1" x14ac:dyDescent="0.35">
      <c r="A2888" s="388" t="s">
        <v>1</v>
      </c>
      <c r="B2888" s="389">
        <v>7231</v>
      </c>
      <c r="C2888" s="1345" t="s">
        <v>1290</v>
      </c>
      <c r="D2888" s="1346"/>
      <c r="E2888" s="392" t="s">
        <v>3</v>
      </c>
      <c r="F2888" s="393" t="s">
        <v>108</v>
      </c>
      <c r="G2888" s="390" t="s">
        <v>38</v>
      </c>
      <c r="H2888" s="132">
        <v>3329</v>
      </c>
      <c r="I2888" s="392" t="s">
        <v>5</v>
      </c>
      <c r="J2888" s="1207" t="s">
        <v>2874</v>
      </c>
      <c r="K2888" s="1207"/>
      <c r="L2888" s="1208"/>
      <c r="M2888" s="50"/>
      <c r="N2888" s="50"/>
      <c r="O2888" s="5"/>
      <c r="P2888" s="9"/>
      <c r="Q2888" s="34"/>
      <c r="R2888" s="5"/>
      <c r="S2888" s="35"/>
    </row>
    <row r="2889" spans="1:19" ht="30" customHeight="1" x14ac:dyDescent="0.35">
      <c r="A2889" s="494" t="s">
        <v>187</v>
      </c>
      <c r="B2889" s="1280" t="s">
        <v>211</v>
      </c>
      <c r="C2889" s="1281"/>
      <c r="D2889" s="1282"/>
      <c r="E2889" s="566" t="s">
        <v>52</v>
      </c>
      <c r="F2889" s="566" t="s">
        <v>53</v>
      </c>
      <c r="G2889" s="1219" t="s">
        <v>54</v>
      </c>
      <c r="H2889" s="1220"/>
      <c r="I2889" s="185" t="s">
        <v>188</v>
      </c>
      <c r="J2889" s="185"/>
      <c r="K2889" s="399" t="s">
        <v>180</v>
      </c>
      <c r="L2889" s="778"/>
      <c r="M2889" s="50"/>
      <c r="N2889" s="50"/>
      <c r="O2889" s="5"/>
      <c r="P2889" s="9"/>
      <c r="Q2889" s="34"/>
      <c r="R2889" s="5"/>
      <c r="S2889" s="35"/>
    </row>
    <row r="2890" spans="1:19" ht="30" customHeight="1" x14ac:dyDescent="0.35">
      <c r="A2890" s="186" t="s">
        <v>1291</v>
      </c>
      <c r="B2890" s="1202" t="s">
        <v>1292</v>
      </c>
      <c r="C2890" s="1203"/>
      <c r="D2890" s="1204"/>
      <c r="E2890" s="194">
        <v>113</v>
      </c>
      <c r="F2890" s="422" t="s">
        <v>108</v>
      </c>
      <c r="G2890" s="707"/>
      <c r="H2890" s="708"/>
      <c r="I2890" s="186">
        <v>1.08</v>
      </c>
      <c r="J2890" s="186"/>
      <c r="K2890" s="194">
        <f>+E2890*I2890</f>
        <v>122.04</v>
      </c>
      <c r="L2890" s="186" t="s">
        <v>108</v>
      </c>
      <c r="M2890" s="50"/>
      <c r="N2890" s="50"/>
      <c r="O2890" s="5"/>
      <c r="P2890" s="9"/>
      <c r="Q2890" s="34"/>
      <c r="R2890" s="5"/>
      <c r="S2890" s="35"/>
    </row>
    <row r="2891" spans="1:19" ht="30" customHeight="1" x14ac:dyDescent="0.35">
      <c r="A2891" s="1011" t="s">
        <v>1293</v>
      </c>
      <c r="B2891" s="1212" t="s">
        <v>2887</v>
      </c>
      <c r="C2891" s="1213"/>
      <c r="D2891" s="1214"/>
      <c r="E2891" s="194">
        <v>160</v>
      </c>
      <c r="F2891" s="422" t="s">
        <v>108</v>
      </c>
      <c r="G2891" s="707"/>
      <c r="H2891" s="708"/>
      <c r="I2891" s="204">
        <v>0.99</v>
      </c>
      <c r="J2891" s="186"/>
      <c r="K2891" s="194">
        <f>+E2891*I2891</f>
        <v>158.4</v>
      </c>
      <c r="L2891" s="186" t="s">
        <v>108</v>
      </c>
      <c r="M2891" s="50"/>
      <c r="N2891" s="50"/>
      <c r="O2891" s="5"/>
      <c r="P2891" s="9"/>
      <c r="Q2891" s="34"/>
      <c r="R2891" s="5"/>
      <c r="S2891" s="35"/>
    </row>
    <row r="2892" spans="1:19" ht="30" customHeight="1" x14ac:dyDescent="0.35">
      <c r="A2892" s="1011"/>
      <c r="B2892" s="552"/>
      <c r="C2892" s="553"/>
      <c r="D2892" s="554"/>
      <c r="E2892" s="194"/>
      <c r="F2892" s="422"/>
      <c r="G2892" s="1491" t="s">
        <v>1294</v>
      </c>
      <c r="H2892" s="1413"/>
      <c r="I2892" s="1413"/>
      <c r="J2892" s="1414"/>
      <c r="K2892" s="194">
        <f>AVERAGE(K2890:K2891)</f>
        <v>140.22</v>
      </c>
      <c r="L2892" s="186" t="s">
        <v>108</v>
      </c>
      <c r="M2892" s="50"/>
      <c r="N2892" s="50"/>
      <c r="O2892" s="5"/>
      <c r="P2892" s="9"/>
      <c r="Q2892" s="34"/>
      <c r="R2892" s="5"/>
      <c r="S2892" s="35"/>
    </row>
    <row r="2893" spans="1:19" ht="30" customHeight="1" x14ac:dyDescent="0.35">
      <c r="A2893" s="186" t="s">
        <v>1172</v>
      </c>
      <c r="B2893" s="1211" t="s">
        <v>1295</v>
      </c>
      <c r="C2893" s="1211"/>
      <c r="D2893" s="1211"/>
      <c r="E2893" s="194">
        <v>5.7</v>
      </c>
      <c r="F2893" s="186" t="s">
        <v>108</v>
      </c>
      <c r="G2893" s="186"/>
      <c r="H2893" s="186"/>
      <c r="I2893" s="186">
        <v>1.08</v>
      </c>
      <c r="J2893" s="186"/>
      <c r="K2893" s="194">
        <f>+E2893*I2893</f>
        <v>6.1560000000000006</v>
      </c>
      <c r="L2893" s="186" t="s">
        <v>108</v>
      </c>
      <c r="M2893" s="50"/>
      <c r="N2893" s="50"/>
      <c r="O2893" s="5"/>
      <c r="P2893" s="9"/>
      <c r="Q2893" s="34"/>
      <c r="R2893" s="5"/>
      <c r="S2893" s="35"/>
    </row>
    <row r="2894" spans="1:19" ht="30" customHeight="1" x14ac:dyDescent="0.35">
      <c r="A2894" s="985"/>
      <c r="B2894" s="1211"/>
      <c r="C2894" s="1211"/>
      <c r="D2894" s="1211"/>
      <c r="E2894" s="194"/>
      <c r="F2894" s="186"/>
      <c r="G2894" s="186"/>
      <c r="H2894" s="186"/>
      <c r="I2894" s="186"/>
      <c r="J2894" s="186" t="s">
        <v>223</v>
      </c>
      <c r="K2894" s="194">
        <f>SUM(K2892:K2893)</f>
        <v>146.376</v>
      </c>
      <c r="L2894" s="186" t="s">
        <v>108</v>
      </c>
      <c r="M2894" s="50"/>
      <c r="N2894" s="50"/>
      <c r="O2894" s="5"/>
      <c r="P2894" s="9"/>
      <c r="Q2894" s="34"/>
      <c r="R2894" s="5"/>
      <c r="S2894" s="35"/>
    </row>
    <row r="2895" spans="1:19" ht="30" customHeight="1" x14ac:dyDescent="0.35">
      <c r="A2895" s="186"/>
      <c r="B2895" s="567"/>
      <c r="C2895" s="567"/>
      <c r="D2895" s="567"/>
      <c r="E2895" s="194"/>
      <c r="F2895" s="1215" t="s">
        <v>195</v>
      </c>
      <c r="G2895" s="1273" t="s">
        <v>196</v>
      </c>
      <c r="H2895" s="1273"/>
      <c r="I2895" s="1273"/>
      <c r="J2895" s="1273"/>
      <c r="K2895" s="196">
        <v>1.05</v>
      </c>
      <c r="L2895" s="186"/>
      <c r="M2895" s="50"/>
      <c r="N2895" s="50"/>
    </row>
    <row r="2896" spans="1:19" ht="30" customHeight="1" x14ac:dyDescent="0.35">
      <c r="A2896" s="186"/>
      <c r="B2896" s="567"/>
      <c r="C2896" s="567"/>
      <c r="D2896" s="567"/>
      <c r="E2896" s="194"/>
      <c r="F2896" s="1216"/>
      <c r="G2896" s="1268" t="s">
        <v>2875</v>
      </c>
      <c r="H2896" s="1268"/>
      <c r="I2896" s="1268"/>
      <c r="J2896" s="1268"/>
      <c r="K2896" s="196">
        <v>1.07</v>
      </c>
      <c r="L2896" s="186"/>
      <c r="M2896" s="50"/>
      <c r="N2896" s="50"/>
      <c r="O2896" s="5"/>
      <c r="P2896" s="9"/>
      <c r="Q2896" s="34"/>
      <c r="R2896" s="5"/>
      <c r="S2896" s="35"/>
    </row>
    <row r="2897" spans="1:26" ht="30" customHeight="1" x14ac:dyDescent="0.35">
      <c r="A2897" s="186"/>
      <c r="B2897" s="186"/>
      <c r="C2897" s="503"/>
      <c r="D2897" s="503"/>
      <c r="E2897" s="503"/>
      <c r="F2897" s="503"/>
      <c r="G2897" s="503"/>
      <c r="H2897" s="503"/>
      <c r="I2897" s="503"/>
      <c r="J2897" s="186" t="s">
        <v>37</v>
      </c>
      <c r="K2897" s="193">
        <f>+K2894*K2895/K2896</f>
        <v>143.64000000000001</v>
      </c>
      <c r="L2897" s="186" t="s">
        <v>108</v>
      </c>
      <c r="M2897" s="50"/>
      <c r="N2897" s="50"/>
      <c r="O2897" s="5"/>
      <c r="P2897" s="9"/>
      <c r="Q2897" s="34"/>
      <c r="R2897" s="5"/>
      <c r="S2897" s="35"/>
    </row>
    <row r="2898" spans="1:26" ht="30" customHeight="1" x14ac:dyDescent="0.35">
      <c r="A2898" s="186"/>
      <c r="B2898" s="186"/>
      <c r="C2898" s="503"/>
      <c r="D2898" s="503"/>
      <c r="E2898" s="503"/>
      <c r="F2898" s="503"/>
      <c r="G2898" s="1194" t="s">
        <v>257</v>
      </c>
      <c r="H2898" s="1195"/>
      <c r="I2898" s="1196"/>
      <c r="J2898" s="560">
        <f>VLOOKUP(B2888,'Mil Cost Premiums for PUCs'!$A$4:$R$285,18,FALSE)</f>
        <v>1.1690733213045894</v>
      </c>
      <c r="K2898" s="193">
        <f>+K2897*J2898</f>
        <v>167.92569187219124</v>
      </c>
      <c r="L2898" s="186" t="s">
        <v>108</v>
      </c>
      <c r="M2898" s="50"/>
      <c r="N2898" s="50"/>
      <c r="O2898" s="5"/>
      <c r="P2898" s="9"/>
      <c r="Q2898" s="34"/>
      <c r="R2898" s="5"/>
      <c r="S2898" s="35"/>
    </row>
    <row r="2899" spans="1:26" ht="30" customHeight="1" x14ac:dyDescent="0.35">
      <c r="A2899" s="1274" t="s">
        <v>198</v>
      </c>
      <c r="B2899" s="1275"/>
      <c r="C2899" s="1275"/>
      <c r="D2899" s="1275"/>
      <c r="E2899" s="1275"/>
      <c r="F2899" s="1275"/>
      <c r="G2899" s="1275"/>
      <c r="H2899" s="1275"/>
      <c r="I2899" s="1275"/>
      <c r="J2899" s="1275"/>
      <c r="K2899" s="1275"/>
      <c r="L2899" s="1276"/>
      <c r="N2899" s="50"/>
      <c r="O2899" s="5"/>
      <c r="P2899" s="9"/>
      <c r="Q2899" s="34"/>
      <c r="R2899" s="5"/>
      <c r="S2899" s="35"/>
    </row>
    <row r="2900" spans="1:26" ht="30" customHeight="1" x14ac:dyDescent="0.35">
      <c r="A2900" s="1389" t="s">
        <v>199</v>
      </c>
      <c r="B2900" s="1390"/>
      <c r="C2900" s="1391"/>
      <c r="D2900" s="1274" t="s">
        <v>1296</v>
      </c>
      <c r="E2900" s="1275"/>
      <c r="F2900" s="1275"/>
      <c r="G2900" s="1275"/>
      <c r="H2900" s="1275"/>
      <c r="I2900" s="1275"/>
      <c r="J2900" s="1275"/>
      <c r="K2900" s="1275"/>
      <c r="L2900" s="1276"/>
      <c r="M2900" s="50"/>
      <c r="N2900" s="100"/>
      <c r="O2900" s="5"/>
      <c r="P2900" s="9"/>
      <c r="Q2900" s="34"/>
      <c r="R2900" s="5"/>
      <c r="S2900" s="35"/>
    </row>
    <row r="2901" spans="1:26" ht="30" customHeight="1" x14ac:dyDescent="0.35">
      <c r="A2901" s="1389" t="s">
        <v>200</v>
      </c>
      <c r="B2901" s="1390"/>
      <c r="C2901" s="1391"/>
      <c r="D2901" s="1274" t="s">
        <v>1297</v>
      </c>
      <c r="E2901" s="1275"/>
      <c r="F2901" s="1275"/>
      <c r="G2901" s="1275"/>
      <c r="H2901" s="1275"/>
      <c r="I2901" s="1275"/>
      <c r="J2901" s="1275"/>
      <c r="K2901" s="1275"/>
      <c r="L2901" s="1276"/>
      <c r="M2901" s="50"/>
      <c r="N2901" s="50"/>
      <c r="O2901" s="5"/>
      <c r="P2901" s="9"/>
      <c r="Q2901" s="34"/>
      <c r="R2901" s="5"/>
      <c r="S2901" s="35"/>
    </row>
    <row r="2902" spans="1:26" ht="30" customHeight="1" x14ac:dyDescent="0.35">
      <c r="A2902" s="1389" t="s">
        <v>201</v>
      </c>
      <c r="B2902" s="1390"/>
      <c r="C2902" s="1391"/>
      <c r="D2902" s="1274" t="s">
        <v>1298</v>
      </c>
      <c r="E2902" s="1275"/>
      <c r="F2902" s="1275"/>
      <c r="G2902" s="1275"/>
      <c r="H2902" s="1275"/>
      <c r="I2902" s="1275"/>
      <c r="J2902" s="1275"/>
      <c r="K2902" s="1275"/>
      <c r="L2902" s="1276"/>
      <c r="M2902" s="50"/>
      <c r="N2902" s="50"/>
      <c r="O2902" s="5"/>
      <c r="P2902" s="9"/>
      <c r="Q2902" s="34"/>
      <c r="R2902" s="5"/>
      <c r="S2902" s="35"/>
    </row>
    <row r="2903" spans="1:26" ht="30" customHeight="1" x14ac:dyDescent="0.35">
      <c r="A2903" s="1389" t="s">
        <v>202</v>
      </c>
      <c r="B2903" s="1390"/>
      <c r="C2903" s="1391"/>
      <c r="D2903" s="1274" t="s">
        <v>1299</v>
      </c>
      <c r="E2903" s="1275"/>
      <c r="F2903" s="1275"/>
      <c r="G2903" s="1275"/>
      <c r="H2903" s="1275"/>
      <c r="I2903" s="1275"/>
      <c r="J2903" s="1275"/>
      <c r="K2903" s="1275"/>
      <c r="L2903" s="1276"/>
      <c r="M2903" s="50"/>
      <c r="N2903" s="50"/>
      <c r="O2903" s="5"/>
      <c r="P2903" s="9"/>
      <c r="Q2903" s="34"/>
      <c r="R2903" s="5"/>
      <c r="S2903" s="35"/>
    </row>
    <row r="2904" spans="1:26" ht="30" customHeight="1" x14ac:dyDescent="0.35">
      <c r="A2904" s="1389" t="s">
        <v>203</v>
      </c>
      <c r="B2904" s="1390"/>
      <c r="C2904" s="1391"/>
      <c r="D2904" s="1274" t="s">
        <v>1300</v>
      </c>
      <c r="E2904" s="1275"/>
      <c r="F2904" s="1275"/>
      <c r="G2904" s="1275"/>
      <c r="H2904" s="1275"/>
      <c r="I2904" s="1275"/>
      <c r="J2904" s="1275"/>
      <c r="K2904" s="1275"/>
      <c r="L2904" s="1276"/>
      <c r="M2904" s="50"/>
      <c r="N2904" s="50"/>
      <c r="O2904" s="5"/>
      <c r="P2904" s="9"/>
      <c r="Q2904" s="34"/>
      <c r="R2904" s="5"/>
      <c r="S2904" s="35"/>
    </row>
    <row r="2905" spans="1:26" ht="30" customHeight="1" x14ac:dyDescent="0.35">
      <c r="A2905" s="1389" t="s">
        <v>205</v>
      </c>
      <c r="B2905" s="1390"/>
      <c r="C2905" s="1391"/>
      <c r="D2905" s="1274" t="s">
        <v>1301</v>
      </c>
      <c r="E2905" s="1275"/>
      <c r="F2905" s="1275"/>
      <c r="G2905" s="1275"/>
      <c r="H2905" s="1275"/>
      <c r="I2905" s="1275"/>
      <c r="J2905" s="1275"/>
      <c r="K2905" s="1275"/>
      <c r="L2905" s="1276"/>
      <c r="M2905" s="50"/>
      <c r="O2905" s="5"/>
      <c r="P2905" s="9"/>
      <c r="Q2905" s="34"/>
      <c r="R2905" s="5"/>
      <c r="S2905" s="35"/>
    </row>
    <row r="2906" spans="1:26" ht="30" customHeight="1" x14ac:dyDescent="0.35">
      <c r="A2906" s="1389" t="s">
        <v>207</v>
      </c>
      <c r="B2906" s="1390"/>
      <c r="C2906" s="1391"/>
      <c r="D2906" s="1274" t="s">
        <v>1302</v>
      </c>
      <c r="E2906" s="1275"/>
      <c r="F2906" s="1275"/>
      <c r="G2906" s="1275"/>
      <c r="H2906" s="1275"/>
      <c r="I2906" s="1275"/>
      <c r="J2906" s="1275"/>
      <c r="K2906" s="1275"/>
      <c r="L2906" s="1276"/>
      <c r="M2906" s="50"/>
      <c r="N2906" s="50"/>
      <c r="O2906" s="5"/>
      <c r="P2906" s="9"/>
      <c r="Q2906" s="34"/>
      <c r="R2906" s="5"/>
      <c r="S2906" s="35"/>
    </row>
    <row r="2907" spans="1:26" ht="30" customHeight="1" x14ac:dyDescent="0.35">
      <c r="A2907" s="1389" t="s">
        <v>208</v>
      </c>
      <c r="B2907" s="1390"/>
      <c r="C2907" s="1391"/>
      <c r="D2907" s="1274" t="s">
        <v>265</v>
      </c>
      <c r="E2907" s="1275"/>
      <c r="F2907" s="1275"/>
      <c r="G2907" s="1275"/>
      <c r="H2907" s="1275"/>
      <c r="I2907" s="1275"/>
      <c r="J2907" s="1275"/>
      <c r="K2907" s="1275"/>
      <c r="L2907" s="1276"/>
      <c r="M2907" s="50"/>
      <c r="N2907" s="50"/>
      <c r="O2907" s="5"/>
      <c r="P2907" s="9"/>
      <c r="Q2907" s="34"/>
      <c r="R2907" s="5"/>
      <c r="S2907" s="35"/>
      <c r="X2907" s="665"/>
      <c r="Y2907" s="665"/>
      <c r="Z2907" s="665"/>
    </row>
    <row r="2908" spans="1:26" ht="30" customHeight="1" thickBot="1" x14ac:dyDescent="0.4">
      <c r="A2908" s="1389" t="s">
        <v>224</v>
      </c>
      <c r="B2908" s="1390"/>
      <c r="C2908" s="1391"/>
      <c r="D2908" s="1553" t="s">
        <v>1303</v>
      </c>
      <c r="E2908" s="1554"/>
      <c r="F2908" s="1554"/>
      <c r="G2908" s="1554"/>
      <c r="H2908" s="1554"/>
      <c r="I2908" s="1554"/>
      <c r="J2908" s="1554"/>
      <c r="K2908" s="1554"/>
      <c r="L2908" s="1555"/>
      <c r="M2908" s="50"/>
      <c r="N2908" s="50"/>
      <c r="O2908" s="5"/>
      <c r="P2908" s="9"/>
      <c r="Q2908" s="34"/>
      <c r="R2908" s="5"/>
      <c r="S2908" s="35"/>
    </row>
    <row r="2909" spans="1:26" ht="30" customHeight="1" thickBot="1" x14ac:dyDescent="0.4">
      <c r="A2909" s="1381"/>
      <c r="B2909" s="1382"/>
      <c r="C2909" s="1382"/>
      <c r="D2909" s="1382"/>
      <c r="E2909" s="1382"/>
      <c r="F2909" s="1382"/>
      <c r="G2909" s="1382"/>
      <c r="H2909" s="1382"/>
      <c r="I2909" s="1382"/>
      <c r="J2909" s="1382"/>
      <c r="K2909" s="1382"/>
      <c r="L2909" s="1383"/>
      <c r="M2909" s="50"/>
      <c r="N2909" s="50"/>
      <c r="O2909" s="5"/>
      <c r="P2909" s="9"/>
      <c r="Q2909" s="34"/>
      <c r="R2909" s="5"/>
      <c r="S2909" s="35"/>
    </row>
    <row r="2910" spans="1:26" s="665" customFormat="1" ht="30" customHeight="1" x14ac:dyDescent="0.35">
      <c r="A2910" s="388" t="s">
        <v>1</v>
      </c>
      <c r="B2910" s="389">
        <v>7232</v>
      </c>
      <c r="C2910" s="1290" t="s">
        <v>1304</v>
      </c>
      <c r="D2910" s="1291"/>
      <c r="E2910" s="392" t="s">
        <v>3</v>
      </c>
      <c r="F2910" s="393" t="s">
        <v>108</v>
      </c>
      <c r="G2910" s="390" t="s">
        <v>38</v>
      </c>
      <c r="H2910" s="660">
        <v>1879.39423076923</v>
      </c>
      <c r="I2910" s="392" t="s">
        <v>5</v>
      </c>
      <c r="J2910" s="1207" t="s">
        <v>2861</v>
      </c>
      <c r="K2910" s="1207"/>
      <c r="L2910" s="1208"/>
      <c r="M2910" s="50"/>
      <c r="N2910" s="50"/>
      <c r="O2910" s="5"/>
      <c r="P2910" s="9"/>
      <c r="Q2910" s="34"/>
      <c r="R2910" s="5"/>
      <c r="S2910" s="35"/>
      <c r="T2910" s="9"/>
      <c r="U2910" s="9"/>
      <c r="V2910" s="9"/>
      <c r="W2910" s="9"/>
      <c r="X2910" s="9"/>
      <c r="Y2910" s="9"/>
      <c r="Z2910" s="9"/>
    </row>
    <row r="2911" spans="1:26" ht="30" customHeight="1" x14ac:dyDescent="0.35">
      <c r="A2911" s="185" t="s">
        <v>177</v>
      </c>
      <c r="B2911" s="1272" t="s">
        <v>7</v>
      </c>
      <c r="C2911" s="1272"/>
      <c r="D2911" s="1272"/>
      <c r="E2911" s="492" t="s">
        <v>178</v>
      </c>
      <c r="F2911" s="397" t="s">
        <v>52</v>
      </c>
      <c r="G2911" s="185"/>
      <c r="H2911" s="185"/>
      <c r="I2911" s="1223" t="s">
        <v>56</v>
      </c>
      <c r="J2911" s="1224"/>
      <c r="K2911" s="1209" t="s">
        <v>180</v>
      </c>
      <c r="L2911" s="1210"/>
      <c r="M2911" s="50"/>
      <c r="N2911" s="50"/>
      <c r="O2911" s="5"/>
      <c r="P2911" s="9"/>
      <c r="Q2911" s="34"/>
      <c r="R2911" s="5"/>
      <c r="S2911" s="35"/>
    </row>
    <row r="2912" spans="1:26" ht="30" customHeight="1" x14ac:dyDescent="0.35">
      <c r="A2912" s="401" t="s">
        <v>181</v>
      </c>
      <c r="B2912" s="1389" t="s">
        <v>1305</v>
      </c>
      <c r="C2912" s="1390"/>
      <c r="D2912" s="1391"/>
      <c r="E2912" s="531">
        <v>190000</v>
      </c>
      <c r="F2912" s="187">
        <v>65</v>
      </c>
      <c r="G2912" s="532"/>
      <c r="H2912" s="533"/>
      <c r="I2912" s="1217" t="s">
        <v>2860</v>
      </c>
      <c r="J2912" s="1218"/>
      <c r="K2912" s="187">
        <f>+F2912</f>
        <v>65</v>
      </c>
      <c r="L2912" s="401" t="s">
        <v>108</v>
      </c>
      <c r="M2912" s="50"/>
      <c r="N2912" s="50"/>
      <c r="O2912" s="5"/>
      <c r="P2912" s="9"/>
      <c r="Q2912" s="34"/>
      <c r="R2912" s="5"/>
      <c r="S2912" s="35"/>
    </row>
    <row r="2913" spans="1:19" ht="30" customHeight="1" thickBot="1" x14ac:dyDescent="0.4">
      <c r="A2913" s="186"/>
      <c r="B2913" s="1350"/>
      <c r="C2913" s="1351"/>
      <c r="D2913" s="1352"/>
      <c r="E2913" s="1008"/>
      <c r="F2913" s="1009"/>
      <c r="G2913" s="1009"/>
      <c r="H2913" s="1010"/>
      <c r="I2913" s="503"/>
      <c r="J2913" s="494" t="s">
        <v>37</v>
      </c>
      <c r="K2913" s="193">
        <f>+K2912</f>
        <v>65</v>
      </c>
      <c r="L2913" s="186" t="s">
        <v>108</v>
      </c>
      <c r="M2913" s="50"/>
      <c r="N2913" s="50"/>
      <c r="O2913" s="5"/>
      <c r="P2913" s="9"/>
      <c r="Q2913" s="34"/>
      <c r="R2913" s="5"/>
      <c r="S2913" s="35"/>
    </row>
    <row r="2914" spans="1:19" ht="30" customHeight="1" thickBot="1" x14ac:dyDescent="0.4">
      <c r="A2914" s="1199"/>
      <c r="B2914" s="1200"/>
      <c r="C2914" s="1200"/>
      <c r="D2914" s="1200"/>
      <c r="E2914" s="1200"/>
      <c r="F2914" s="1200"/>
      <c r="G2914" s="1200"/>
      <c r="H2914" s="1200"/>
      <c r="I2914" s="1200"/>
      <c r="J2914" s="1200"/>
      <c r="K2914" s="1200"/>
      <c r="L2914" s="1201"/>
      <c r="M2914" s="50"/>
      <c r="N2914" s="50"/>
      <c r="O2914" s="5"/>
      <c r="P2914" s="9"/>
      <c r="Q2914" s="34"/>
      <c r="R2914" s="5"/>
      <c r="S2914" s="35"/>
    </row>
    <row r="2915" spans="1:19" ht="30" customHeight="1" x14ac:dyDescent="0.35">
      <c r="A2915" s="388" t="s">
        <v>1</v>
      </c>
      <c r="B2915" s="389">
        <v>7233</v>
      </c>
      <c r="C2915" s="1205" t="s">
        <v>1306</v>
      </c>
      <c r="D2915" s="1206"/>
      <c r="E2915" s="392" t="s">
        <v>3</v>
      </c>
      <c r="F2915" s="393" t="s">
        <v>108</v>
      </c>
      <c r="G2915" s="390" t="s">
        <v>38</v>
      </c>
      <c r="H2915" s="660">
        <v>3680</v>
      </c>
      <c r="I2915" s="392" t="s">
        <v>5</v>
      </c>
      <c r="J2915" s="1207" t="s">
        <v>2874</v>
      </c>
      <c r="K2915" s="1207"/>
      <c r="L2915" s="1208"/>
      <c r="M2915" s="50"/>
      <c r="N2915" s="50"/>
      <c r="O2915" s="5"/>
      <c r="P2915" s="9"/>
      <c r="Q2915" s="34"/>
      <c r="R2915" s="5"/>
      <c r="S2915" s="35"/>
    </row>
    <row r="2916" spans="1:19" ht="30" customHeight="1" x14ac:dyDescent="0.35">
      <c r="A2916" s="494" t="s">
        <v>187</v>
      </c>
      <c r="B2916" s="1280" t="s">
        <v>211</v>
      </c>
      <c r="C2916" s="1281"/>
      <c r="D2916" s="1282"/>
      <c r="E2916" s="566" t="s">
        <v>52</v>
      </c>
      <c r="F2916" s="566" t="s">
        <v>53</v>
      </c>
      <c r="G2916" s="1219" t="s">
        <v>54</v>
      </c>
      <c r="H2916" s="1220"/>
      <c r="I2916" s="185" t="s">
        <v>188</v>
      </c>
      <c r="J2916" s="185"/>
      <c r="K2916" s="399" t="s">
        <v>180</v>
      </c>
      <c r="L2916" s="778"/>
      <c r="M2916" s="50"/>
      <c r="N2916" s="50"/>
      <c r="O2916" s="5"/>
      <c r="P2916" s="9"/>
      <c r="Q2916" s="34"/>
      <c r="R2916" s="5"/>
      <c r="S2916" s="35"/>
    </row>
    <row r="2917" spans="1:19" ht="30" customHeight="1" x14ac:dyDescent="0.35">
      <c r="A2917" s="186" t="s">
        <v>1307</v>
      </c>
      <c r="B2917" s="1202" t="s">
        <v>1308</v>
      </c>
      <c r="C2917" s="1203"/>
      <c r="D2917" s="1204"/>
      <c r="E2917" s="194">
        <v>158</v>
      </c>
      <c r="F2917" s="186" t="s">
        <v>108</v>
      </c>
      <c r="G2917" s="186"/>
      <c r="H2917" s="186"/>
      <c r="I2917" s="186">
        <v>1.08</v>
      </c>
      <c r="J2917" s="186"/>
      <c r="K2917" s="194">
        <f>+E2917*I2917</f>
        <v>170.64000000000001</v>
      </c>
      <c r="L2917" s="186" t="s">
        <v>108</v>
      </c>
      <c r="M2917" s="50"/>
      <c r="N2917" s="50"/>
      <c r="O2917" s="5"/>
      <c r="P2917" s="9"/>
      <c r="Q2917" s="34"/>
      <c r="R2917" s="5"/>
      <c r="S2917" s="35"/>
    </row>
    <row r="2918" spans="1:19" ht="30" customHeight="1" x14ac:dyDescent="0.35">
      <c r="A2918" s="186" t="s">
        <v>1172</v>
      </c>
      <c r="B2918" s="1202" t="s">
        <v>1193</v>
      </c>
      <c r="C2918" s="1203"/>
      <c r="D2918" s="1203"/>
      <c r="E2918" s="194">
        <v>5.24</v>
      </c>
      <c r="F2918" s="186" t="s">
        <v>108</v>
      </c>
      <c r="G2918" s="503"/>
      <c r="H2918" s="534"/>
      <c r="I2918" s="186">
        <v>1.08</v>
      </c>
      <c r="J2918" s="186"/>
      <c r="K2918" s="194">
        <f>+E2918*I2918</f>
        <v>5.6592000000000002</v>
      </c>
      <c r="L2918" s="186" t="s">
        <v>108</v>
      </c>
      <c r="M2918" s="50"/>
      <c r="N2918" s="50"/>
      <c r="O2918" s="5"/>
      <c r="P2918" s="9"/>
      <c r="Q2918" s="34"/>
      <c r="R2918" s="5"/>
      <c r="S2918" s="35"/>
    </row>
    <row r="2919" spans="1:19" ht="30" customHeight="1" x14ac:dyDescent="0.35">
      <c r="A2919" s="186"/>
      <c r="B2919" s="1264"/>
      <c r="C2919" s="1264"/>
      <c r="D2919" s="1264"/>
      <c r="E2919" s="194"/>
      <c r="F2919" s="186"/>
      <c r="G2919" s="503"/>
      <c r="H2919" s="534"/>
      <c r="I2919" s="186"/>
      <c r="J2919" s="186" t="s">
        <v>223</v>
      </c>
      <c r="K2919" s="194">
        <f>SUM(K2917:K2918)</f>
        <v>176.29920000000001</v>
      </c>
      <c r="L2919" s="186" t="s">
        <v>108</v>
      </c>
      <c r="M2919" s="50"/>
      <c r="N2919" s="50"/>
      <c r="O2919" s="5"/>
      <c r="P2919" s="9"/>
      <c r="Q2919" s="34"/>
      <c r="R2919" s="5"/>
      <c r="S2919" s="35"/>
    </row>
    <row r="2920" spans="1:19" ht="30" customHeight="1" x14ac:dyDescent="0.35">
      <c r="A2920" s="186"/>
      <c r="B2920" s="567"/>
      <c r="C2920" s="567"/>
      <c r="D2920" s="567"/>
      <c r="E2920" s="194"/>
      <c r="F2920" s="1215" t="s">
        <v>195</v>
      </c>
      <c r="G2920" s="1273" t="s">
        <v>196</v>
      </c>
      <c r="H2920" s="1273"/>
      <c r="I2920" s="1273"/>
      <c r="J2920" s="1273"/>
      <c r="K2920" s="196">
        <v>1.05</v>
      </c>
      <c r="L2920" s="186"/>
      <c r="M2920" s="50"/>
      <c r="N2920" s="50"/>
      <c r="O2920" s="5"/>
      <c r="P2920" s="9"/>
      <c r="Q2920" s="34"/>
      <c r="R2920" s="5"/>
      <c r="S2920" s="35"/>
    </row>
    <row r="2921" spans="1:19" ht="30" customHeight="1" x14ac:dyDescent="0.35">
      <c r="A2921" s="186"/>
      <c r="B2921" s="567"/>
      <c r="C2921" s="567"/>
      <c r="D2921" s="567"/>
      <c r="E2921" s="194"/>
      <c r="F2921" s="1216"/>
      <c r="G2921" s="1268" t="s">
        <v>2875</v>
      </c>
      <c r="H2921" s="1268"/>
      <c r="I2921" s="1268"/>
      <c r="J2921" s="1268"/>
      <c r="K2921" s="196">
        <v>1.07</v>
      </c>
      <c r="L2921" s="186"/>
      <c r="M2921" s="50"/>
      <c r="N2921" s="50"/>
      <c r="O2921" s="5"/>
      <c r="P2921" s="9"/>
      <c r="Q2921" s="34"/>
      <c r="R2921" s="5"/>
      <c r="S2921" s="35"/>
    </row>
    <row r="2922" spans="1:19" ht="30" customHeight="1" x14ac:dyDescent="0.35">
      <c r="A2922" s="186"/>
      <c r="B2922" s="186"/>
      <c r="C2922" s="503"/>
      <c r="D2922" s="503"/>
      <c r="E2922" s="503"/>
      <c r="F2922" s="503"/>
      <c r="G2922" s="503"/>
      <c r="H2922" s="503"/>
      <c r="I2922" s="503"/>
      <c r="J2922" s="186" t="s">
        <v>37</v>
      </c>
      <c r="K2922" s="193">
        <f>+K2919*K2920/K2921</f>
        <v>173.00388785046729</v>
      </c>
      <c r="L2922" s="186" t="s">
        <v>108</v>
      </c>
      <c r="M2922" s="50"/>
      <c r="N2922" s="50"/>
      <c r="O2922" s="5"/>
      <c r="P2922" s="9"/>
      <c r="Q2922" s="34"/>
      <c r="R2922" s="5"/>
      <c r="S2922" s="35"/>
    </row>
    <row r="2923" spans="1:19" ht="30" customHeight="1" thickBot="1" x14ac:dyDescent="0.4">
      <c r="A2923" s="186"/>
      <c r="B2923" s="186"/>
      <c r="C2923" s="503"/>
      <c r="D2923" s="503"/>
      <c r="E2923" s="503"/>
      <c r="F2923" s="503"/>
      <c r="G2923" s="1194" t="s">
        <v>257</v>
      </c>
      <c r="H2923" s="1195"/>
      <c r="I2923" s="1196"/>
      <c r="J2923" s="560">
        <f>VLOOKUP(B2915,'Mil Cost Premiums for PUCs'!$A$4:$R$285,18,FALSE)</f>
        <v>1.0569712645049996</v>
      </c>
      <c r="K2923" s="193">
        <f>+K2922*J2923</f>
        <v>182.86013810558956</v>
      </c>
      <c r="L2923" s="186" t="s">
        <v>108</v>
      </c>
      <c r="M2923" s="50"/>
      <c r="N2923" s="50"/>
      <c r="O2923" s="5"/>
      <c r="P2923" s="9"/>
      <c r="Q2923" s="34"/>
      <c r="R2923" s="5"/>
      <c r="S2923" s="35"/>
    </row>
    <row r="2924" spans="1:19" ht="30" customHeight="1" thickBot="1" x14ac:dyDescent="0.4">
      <c r="A2924" s="385"/>
      <c r="B2924" s="386"/>
      <c r="C2924" s="386"/>
      <c r="D2924" s="386"/>
      <c r="E2924" s="386"/>
      <c r="F2924" s="386"/>
      <c r="G2924" s="386"/>
      <c r="H2924" s="386"/>
      <c r="I2924" s="386"/>
      <c r="J2924" s="386"/>
      <c r="K2924" s="386"/>
      <c r="L2924" s="387"/>
      <c r="N2924" s="50"/>
      <c r="O2924" s="36"/>
      <c r="P2924" s="9"/>
      <c r="Q2924" s="34"/>
      <c r="R2924" s="5"/>
      <c r="S2924" s="35"/>
    </row>
    <row r="2925" spans="1:19" ht="30" customHeight="1" x14ac:dyDescent="0.35">
      <c r="A2925" s="388" t="s">
        <v>1</v>
      </c>
      <c r="B2925" s="389">
        <v>7234</v>
      </c>
      <c r="C2925" s="1205" t="s">
        <v>1309</v>
      </c>
      <c r="D2925" s="1206"/>
      <c r="E2925" s="392" t="s">
        <v>3</v>
      </c>
      <c r="F2925" s="393" t="s">
        <v>108</v>
      </c>
      <c r="G2925" s="390" t="s">
        <v>38</v>
      </c>
      <c r="H2925" s="195">
        <v>706</v>
      </c>
      <c r="I2925" s="392" t="s">
        <v>5</v>
      </c>
      <c r="J2925" s="1673" t="s">
        <v>2873</v>
      </c>
      <c r="K2925" s="1673"/>
      <c r="L2925" s="1409"/>
      <c r="M2925" s="50"/>
      <c r="N2925" s="50"/>
      <c r="O2925" s="36"/>
      <c r="P2925" s="9"/>
      <c r="Q2925" s="34"/>
      <c r="R2925" s="5"/>
      <c r="S2925" s="35"/>
    </row>
    <row r="2926" spans="1:19" ht="30" customHeight="1" x14ac:dyDescent="0.35">
      <c r="A2926" s="185" t="s">
        <v>177</v>
      </c>
      <c r="B2926" s="1272" t="s">
        <v>7</v>
      </c>
      <c r="C2926" s="1272"/>
      <c r="D2926" s="1272"/>
      <c r="E2926" s="492" t="s">
        <v>178</v>
      </c>
      <c r="F2926" s="397" t="s">
        <v>52</v>
      </c>
      <c r="G2926" s="185"/>
      <c r="H2926" s="185"/>
      <c r="I2926" s="1221" t="s">
        <v>179</v>
      </c>
      <c r="J2926" s="1222"/>
      <c r="K2926" s="1209" t="s">
        <v>180</v>
      </c>
      <c r="L2926" s="1210"/>
      <c r="M2926" s="50"/>
      <c r="N2926" s="50"/>
      <c r="O2926" s="5"/>
      <c r="P2926" s="9"/>
      <c r="Q2926" s="34"/>
      <c r="R2926" s="5"/>
      <c r="S2926" s="35"/>
    </row>
    <row r="2927" spans="1:19" ht="30" customHeight="1" x14ac:dyDescent="0.35">
      <c r="A2927" s="401">
        <v>73075</v>
      </c>
      <c r="B2927" s="1265" t="s">
        <v>2942</v>
      </c>
      <c r="C2927" s="1265"/>
      <c r="D2927" s="1265"/>
      <c r="E2927" s="531">
        <v>463</v>
      </c>
      <c r="F2927" s="187">
        <v>545</v>
      </c>
      <c r="G2927" s="532"/>
      <c r="H2927" s="533"/>
      <c r="I2927" s="1217">
        <f>+'FY2024 MILCON Inflation Table'!F23</f>
        <v>0.93863689284411045</v>
      </c>
      <c r="J2927" s="1218"/>
      <c r="K2927" s="187">
        <f>+F2927*I2927</f>
        <v>511.55710660004019</v>
      </c>
      <c r="L2927" s="401" t="s">
        <v>108</v>
      </c>
      <c r="M2927" s="50"/>
      <c r="N2927" s="50"/>
      <c r="O2927" s="5"/>
      <c r="P2927" s="9"/>
      <c r="Q2927" s="34"/>
      <c r="R2927" s="5"/>
      <c r="S2927" s="35"/>
    </row>
    <row r="2928" spans="1:19" ht="30" customHeight="1" x14ac:dyDescent="0.35">
      <c r="A2928" s="409">
        <v>73075</v>
      </c>
      <c r="B2928" s="1265" t="s">
        <v>2943</v>
      </c>
      <c r="C2928" s="1265"/>
      <c r="D2928" s="1265"/>
      <c r="E2928" s="531">
        <v>225</v>
      </c>
      <c r="F2928" s="187">
        <v>1227</v>
      </c>
      <c r="G2928" s="793"/>
      <c r="H2928" s="651"/>
      <c r="I2928" s="1217">
        <f>+I2927</f>
        <v>0.93863689284411045</v>
      </c>
      <c r="J2928" s="1218"/>
      <c r="K2928" s="187">
        <f>+F2928*I2928</f>
        <v>1151.7074675197234</v>
      </c>
      <c r="L2928" s="401" t="s">
        <v>108</v>
      </c>
      <c r="M2928" s="50"/>
      <c r="N2928" s="50"/>
      <c r="O2928" s="5"/>
      <c r="P2928" s="9"/>
      <c r="Q2928" s="34"/>
      <c r="R2928" s="5"/>
      <c r="S2928" s="35"/>
    </row>
    <row r="2929" spans="1:23" ht="30" customHeight="1" x14ac:dyDescent="0.35">
      <c r="A2929" s="409"/>
      <c r="B2929" s="410"/>
      <c r="C2929" s="410"/>
      <c r="D2929" s="410"/>
      <c r="E2929" s="1013"/>
      <c r="F2929" s="370"/>
      <c r="G2929" s="793"/>
      <c r="H2929" s="651"/>
      <c r="I2929" s="1800" t="s">
        <v>2551</v>
      </c>
      <c r="J2929" s="1801"/>
      <c r="K2929" s="369">
        <f>AVERAGE(K2927:K2928)</f>
        <v>831.63228705988183</v>
      </c>
      <c r="L2929" s="401" t="s">
        <v>108</v>
      </c>
      <c r="M2929" s="50"/>
      <c r="N2929" s="50"/>
      <c r="O2929" s="5"/>
      <c r="P2929" s="9"/>
      <c r="Q2929" s="34"/>
      <c r="R2929" s="5"/>
      <c r="S2929" s="35"/>
    </row>
    <row r="2930" spans="1:23" ht="30" customHeight="1" thickBot="1" x14ac:dyDescent="0.4">
      <c r="A2930" s="186"/>
      <c r="B2930" s="1264"/>
      <c r="C2930" s="1264"/>
      <c r="D2930" s="1264"/>
      <c r="E2930" s="535"/>
      <c r="F2930" s="536"/>
      <c r="G2930" s="536"/>
      <c r="H2930" s="537"/>
      <c r="I2930" s="503"/>
      <c r="J2930" s="494" t="s">
        <v>37</v>
      </c>
      <c r="K2930" s="193">
        <f>+K2929</f>
        <v>831.63228705988183</v>
      </c>
      <c r="L2930" s="186" t="s">
        <v>108</v>
      </c>
      <c r="M2930" s="50"/>
      <c r="N2930" s="50"/>
      <c r="O2930" s="5"/>
      <c r="P2930" s="9"/>
      <c r="Q2930" s="34"/>
      <c r="R2930" s="5"/>
      <c r="S2930" s="35"/>
    </row>
    <row r="2931" spans="1:23" ht="30" customHeight="1" thickBot="1" x14ac:dyDescent="0.4">
      <c r="A2931" s="1199"/>
      <c r="B2931" s="1200"/>
      <c r="C2931" s="1200"/>
      <c r="D2931" s="1200"/>
      <c r="E2931" s="1200"/>
      <c r="F2931" s="1200"/>
      <c r="G2931" s="1200"/>
      <c r="H2931" s="1200"/>
      <c r="I2931" s="1200"/>
      <c r="J2931" s="1200"/>
      <c r="K2931" s="1200"/>
      <c r="L2931" s="1201"/>
      <c r="M2931" s="50"/>
      <c r="O2931" s="5"/>
      <c r="P2931" s="9"/>
      <c r="Q2931" s="34"/>
      <c r="R2931" s="5"/>
      <c r="S2931" s="35"/>
    </row>
    <row r="2932" spans="1:23" ht="30" customHeight="1" x14ac:dyDescent="0.35">
      <c r="A2932" s="388" t="s">
        <v>1</v>
      </c>
      <c r="B2932" s="389">
        <v>7235</v>
      </c>
      <c r="C2932" s="1205" t="s">
        <v>1311</v>
      </c>
      <c r="D2932" s="1206"/>
      <c r="E2932" s="392" t="s">
        <v>3</v>
      </c>
      <c r="F2932" s="393" t="s">
        <v>40</v>
      </c>
      <c r="G2932" s="529" t="s">
        <v>2</v>
      </c>
      <c r="H2932" s="562">
        <v>1</v>
      </c>
      <c r="I2932" s="392" t="s">
        <v>5</v>
      </c>
      <c r="J2932" s="1207" t="s">
        <v>2874</v>
      </c>
      <c r="K2932" s="1207"/>
      <c r="L2932" s="1208"/>
      <c r="M2932" s="50"/>
      <c r="N2932" s="50"/>
      <c r="O2932" s="5"/>
      <c r="P2932" s="9"/>
      <c r="Q2932" s="34"/>
      <c r="R2932" s="5"/>
      <c r="S2932" s="35"/>
    </row>
    <row r="2933" spans="1:23" ht="30" customHeight="1" x14ac:dyDescent="0.35">
      <c r="A2933" s="494" t="s">
        <v>187</v>
      </c>
      <c r="B2933" s="1280" t="s">
        <v>211</v>
      </c>
      <c r="C2933" s="1281"/>
      <c r="D2933" s="1282"/>
      <c r="E2933" s="566" t="s">
        <v>52</v>
      </c>
      <c r="F2933" s="566" t="s">
        <v>53</v>
      </c>
      <c r="G2933" s="1219" t="s">
        <v>54</v>
      </c>
      <c r="H2933" s="1220"/>
      <c r="I2933" s="185" t="s">
        <v>188</v>
      </c>
      <c r="J2933" s="185"/>
      <c r="K2933" s="399" t="s">
        <v>180</v>
      </c>
      <c r="L2933" s="400"/>
      <c r="M2933" s="50"/>
      <c r="N2933" s="50"/>
      <c r="O2933" s="5"/>
      <c r="P2933" s="9"/>
      <c r="Q2933" s="34"/>
      <c r="R2933" s="5"/>
      <c r="S2933" s="35"/>
    </row>
    <row r="2934" spans="1:23" ht="30" customHeight="1" x14ac:dyDescent="0.35">
      <c r="A2934" s="186" t="s">
        <v>1312</v>
      </c>
      <c r="B2934" s="1211" t="s">
        <v>2888</v>
      </c>
      <c r="C2934" s="1211"/>
      <c r="D2934" s="1211"/>
      <c r="E2934" s="194">
        <v>53</v>
      </c>
      <c r="F2934" s="186" t="s">
        <v>108</v>
      </c>
      <c r="G2934" s="186">
        <v>800</v>
      </c>
      <c r="H2934" s="186" t="s">
        <v>214</v>
      </c>
      <c r="I2934" s="204">
        <v>1.1000000000000001</v>
      </c>
      <c r="J2934" s="186"/>
      <c r="K2934" s="194">
        <f>+E2934*I2934*G2934</f>
        <v>46640</v>
      </c>
      <c r="L2934" s="186" t="s">
        <v>40</v>
      </c>
      <c r="M2934" s="50"/>
      <c r="N2934" s="50"/>
      <c r="O2934" s="5"/>
      <c r="P2934" s="9"/>
      <c r="Q2934" s="34"/>
      <c r="R2934" s="5"/>
      <c r="S2934" s="35"/>
    </row>
    <row r="2935" spans="1:23" ht="30" customHeight="1" x14ac:dyDescent="0.35">
      <c r="A2935" s="186"/>
      <c r="B2935" s="1211" t="s">
        <v>1313</v>
      </c>
      <c r="C2935" s="1211"/>
      <c r="D2935" s="1211"/>
      <c r="E2935" s="194"/>
      <c r="F2935" s="186"/>
      <c r="G2935" s="186"/>
      <c r="H2935" s="186"/>
      <c r="I2935" s="186"/>
      <c r="J2935" s="186"/>
      <c r="K2935" s="194"/>
      <c r="L2935" s="186"/>
      <c r="M2935" s="50"/>
      <c r="N2935" s="50"/>
      <c r="O2935" s="5"/>
      <c r="P2935" s="9"/>
      <c r="Q2935" s="34"/>
      <c r="R2935" s="5"/>
      <c r="S2935" s="35"/>
    </row>
    <row r="2936" spans="1:23" ht="30" customHeight="1" x14ac:dyDescent="0.35">
      <c r="A2936" s="186"/>
      <c r="B2936" s="567"/>
      <c r="C2936" s="567"/>
      <c r="D2936" s="567"/>
      <c r="E2936" s="194"/>
      <c r="F2936" s="1215" t="s">
        <v>195</v>
      </c>
      <c r="G2936" s="1273" t="s">
        <v>196</v>
      </c>
      <c r="H2936" s="1273"/>
      <c r="I2936" s="1273"/>
      <c r="J2936" s="1273"/>
      <c r="K2936" s="196">
        <v>1.05</v>
      </c>
      <c r="L2936" s="186"/>
      <c r="M2936" s="50"/>
      <c r="N2936" s="50"/>
      <c r="O2936" s="5"/>
      <c r="P2936" s="9"/>
      <c r="Q2936" s="34"/>
      <c r="R2936" s="5"/>
      <c r="S2936" s="35"/>
    </row>
    <row r="2937" spans="1:23" ht="30" customHeight="1" x14ac:dyDescent="0.35">
      <c r="A2937" s="186"/>
      <c r="B2937" s="567"/>
      <c r="C2937" s="567"/>
      <c r="D2937" s="567"/>
      <c r="E2937" s="194"/>
      <c r="F2937" s="1216"/>
      <c r="G2937" s="1268" t="s">
        <v>2875</v>
      </c>
      <c r="H2937" s="1268"/>
      <c r="I2937" s="1268"/>
      <c r="J2937" s="1268"/>
      <c r="K2937" s="196">
        <v>1.07</v>
      </c>
      <c r="L2937" s="186"/>
      <c r="M2937" s="50"/>
      <c r="N2937" s="50"/>
      <c r="O2937" s="5"/>
      <c r="P2937" s="9"/>
      <c r="Q2937" s="34"/>
      <c r="R2937" s="5"/>
      <c r="S2937" s="35"/>
      <c r="U2937" s="665"/>
      <c r="V2937" s="665"/>
      <c r="W2937" s="665"/>
    </row>
    <row r="2938" spans="1:23" ht="30" customHeight="1" x14ac:dyDescent="0.35">
      <c r="A2938" s="186"/>
      <c r="B2938" s="186"/>
      <c r="C2938" s="503"/>
      <c r="D2938" s="503"/>
      <c r="E2938" s="503"/>
      <c r="F2938" s="503"/>
      <c r="G2938" s="503"/>
      <c r="H2938" s="503"/>
      <c r="I2938" s="503"/>
      <c r="J2938" s="503" t="s">
        <v>37</v>
      </c>
      <c r="K2938" s="193">
        <f>+K2934*K2936/K2937</f>
        <v>45768.224299065419</v>
      </c>
      <c r="L2938" s="186" t="s">
        <v>40</v>
      </c>
      <c r="M2938" s="50"/>
      <c r="N2938" s="97"/>
      <c r="O2938" s="5"/>
      <c r="P2938" s="9"/>
      <c r="Q2938" s="34"/>
      <c r="R2938" s="5"/>
      <c r="S2938" s="35"/>
    </row>
    <row r="2939" spans="1:23" ht="30" customHeight="1" thickBot="1" x14ac:dyDescent="0.4">
      <c r="A2939" s="186"/>
      <c r="B2939" s="186"/>
      <c r="C2939" s="503"/>
      <c r="D2939" s="503"/>
      <c r="E2939" s="503"/>
      <c r="F2939" s="503"/>
      <c r="G2939" s="1194" t="s">
        <v>257</v>
      </c>
      <c r="H2939" s="1195"/>
      <c r="I2939" s="1196"/>
      <c r="J2939" s="560">
        <f>VLOOKUP(B2932,'Mil Cost Premiums for PUCs'!$A$4:$R$285,18,FALSE)</f>
        <v>1.0209999999999999</v>
      </c>
      <c r="K2939" s="193">
        <f>+K2938*J2939</f>
        <v>46729.357009345789</v>
      </c>
      <c r="L2939" s="186" t="s">
        <v>40</v>
      </c>
      <c r="M2939" s="50"/>
      <c r="N2939" s="50"/>
      <c r="O2939" s="665"/>
      <c r="P2939" s="665"/>
      <c r="Q2939" s="853"/>
      <c r="R2939" s="665"/>
      <c r="S2939" s="665"/>
      <c r="T2939" s="665"/>
    </row>
    <row r="2940" spans="1:23" ht="30" customHeight="1" thickBot="1" x14ac:dyDescent="0.4">
      <c r="A2940" s="1199"/>
      <c r="B2940" s="1200"/>
      <c r="C2940" s="1200"/>
      <c r="D2940" s="1200"/>
      <c r="E2940" s="1200"/>
      <c r="F2940" s="1200"/>
      <c r="G2940" s="1200"/>
      <c r="H2940" s="1200"/>
      <c r="I2940" s="1200"/>
      <c r="J2940" s="1200"/>
      <c r="K2940" s="1200"/>
      <c r="L2940" s="1201"/>
      <c r="N2940" s="50"/>
      <c r="O2940" s="5"/>
      <c r="P2940" s="9"/>
      <c r="Q2940" s="34"/>
      <c r="R2940" s="5"/>
      <c r="S2940" s="35"/>
    </row>
    <row r="2941" spans="1:23" ht="30" customHeight="1" x14ac:dyDescent="0.35">
      <c r="A2941" s="388" t="s">
        <v>1</v>
      </c>
      <c r="B2941" s="389">
        <v>7236</v>
      </c>
      <c r="C2941" s="1290" t="s">
        <v>1314</v>
      </c>
      <c r="D2941" s="1291"/>
      <c r="E2941" s="392" t="s">
        <v>3</v>
      </c>
      <c r="F2941" s="393" t="s">
        <v>108</v>
      </c>
      <c r="G2941" s="390" t="s">
        <v>38</v>
      </c>
      <c r="H2941" s="195">
        <v>1503</v>
      </c>
      <c r="I2941" s="392" t="s">
        <v>5</v>
      </c>
      <c r="J2941" s="1207" t="s">
        <v>186</v>
      </c>
      <c r="K2941" s="1207"/>
      <c r="L2941" s="1208"/>
      <c r="M2941" s="50"/>
      <c r="N2941" s="50"/>
      <c r="O2941" s="5"/>
      <c r="P2941" s="9"/>
      <c r="Q2941" s="34"/>
      <c r="R2941" s="5"/>
      <c r="S2941" s="35"/>
    </row>
    <row r="2942" spans="1:23" ht="30" customHeight="1" x14ac:dyDescent="0.35">
      <c r="A2942" s="494" t="s">
        <v>187</v>
      </c>
      <c r="B2942" s="1280" t="s">
        <v>211</v>
      </c>
      <c r="C2942" s="1281"/>
      <c r="D2942" s="1282"/>
      <c r="E2942" s="566" t="s">
        <v>52</v>
      </c>
      <c r="F2942" s="566" t="s">
        <v>53</v>
      </c>
      <c r="G2942" s="1219" t="s">
        <v>54</v>
      </c>
      <c r="H2942" s="1220"/>
      <c r="I2942" s="185" t="s">
        <v>188</v>
      </c>
      <c r="J2942" s="185"/>
      <c r="K2942" s="399" t="s">
        <v>180</v>
      </c>
      <c r="L2942" s="400"/>
      <c r="M2942" s="50"/>
      <c r="O2942" s="5"/>
      <c r="P2942" s="9"/>
      <c r="Q2942" s="34"/>
      <c r="R2942" s="5"/>
      <c r="S2942" s="35"/>
    </row>
    <row r="2943" spans="1:23" ht="30" customHeight="1" x14ac:dyDescent="0.35">
      <c r="A2943" s="985" t="s">
        <v>1253</v>
      </c>
      <c r="B2943" s="1202" t="s">
        <v>1264</v>
      </c>
      <c r="C2943" s="1203"/>
      <c r="D2943" s="1204"/>
      <c r="E2943" s="194">
        <f>+(8.58+17.25)/2</f>
        <v>12.914999999999999</v>
      </c>
      <c r="F2943" s="422" t="s">
        <v>108</v>
      </c>
      <c r="G2943" s="707"/>
      <c r="H2943" s="708"/>
      <c r="I2943" s="186">
        <v>1.22</v>
      </c>
      <c r="J2943" s="186"/>
      <c r="K2943" s="194">
        <f>+E2943*I2943</f>
        <v>15.756299999999998</v>
      </c>
      <c r="L2943" s="186" t="s">
        <v>108</v>
      </c>
      <c r="M2943" s="50"/>
      <c r="N2943" s="50"/>
      <c r="O2943" s="5"/>
      <c r="P2943" s="9"/>
      <c r="Q2943" s="34"/>
      <c r="R2943" s="5"/>
      <c r="S2943" s="35"/>
    </row>
    <row r="2944" spans="1:23" ht="30" customHeight="1" x14ac:dyDescent="0.35">
      <c r="A2944" s="985" t="s">
        <v>1253</v>
      </c>
      <c r="B2944" s="1212" t="s">
        <v>1265</v>
      </c>
      <c r="C2944" s="1213"/>
      <c r="D2944" s="1214"/>
      <c r="E2944" s="194">
        <f>(6+10.25)/2</f>
        <v>8.125</v>
      </c>
      <c r="F2944" s="422" t="s">
        <v>108</v>
      </c>
      <c r="G2944" s="707"/>
      <c r="H2944" s="708"/>
      <c r="I2944" s="186">
        <v>1.22</v>
      </c>
      <c r="J2944" s="186"/>
      <c r="K2944" s="194">
        <f>+E2944*I2944</f>
        <v>9.9124999999999996</v>
      </c>
      <c r="L2944" s="186"/>
      <c r="M2944" s="50"/>
      <c r="N2944" s="50"/>
      <c r="O2944" s="5"/>
      <c r="P2944" s="9"/>
      <c r="Q2944" s="34"/>
      <c r="R2944" s="5"/>
      <c r="S2944" s="35"/>
    </row>
    <row r="2945" spans="1:19" ht="30" customHeight="1" x14ac:dyDescent="0.35">
      <c r="A2945" s="985"/>
      <c r="B2945" s="1211"/>
      <c r="C2945" s="1211"/>
      <c r="D2945" s="1211"/>
      <c r="E2945" s="194"/>
      <c r="F2945" s="186"/>
      <c r="G2945" s="186"/>
      <c r="H2945" s="186"/>
      <c r="I2945" s="186"/>
      <c r="J2945" s="186" t="s">
        <v>223</v>
      </c>
      <c r="K2945" s="194">
        <f>SUM(K2943:K2944)</f>
        <v>25.668799999999997</v>
      </c>
      <c r="L2945" s="186" t="s">
        <v>108</v>
      </c>
      <c r="M2945" s="96"/>
      <c r="N2945" s="50"/>
      <c r="O2945" s="5"/>
      <c r="P2945" s="9"/>
      <c r="Q2945" s="34"/>
      <c r="R2945" s="5"/>
      <c r="S2945" s="35"/>
    </row>
    <row r="2946" spans="1:19" ht="30" customHeight="1" x14ac:dyDescent="0.35">
      <c r="A2946" s="186"/>
      <c r="B2946" s="567"/>
      <c r="C2946" s="567"/>
      <c r="D2946" s="567"/>
      <c r="E2946" s="194"/>
      <c r="F2946" s="1215" t="s">
        <v>195</v>
      </c>
      <c r="G2946" s="1273" t="s">
        <v>196</v>
      </c>
      <c r="H2946" s="1273"/>
      <c r="I2946" s="1273"/>
      <c r="J2946" s="1273"/>
      <c r="K2946" s="196">
        <v>1.06</v>
      </c>
      <c r="L2946" s="186"/>
      <c r="M2946" s="50"/>
      <c r="N2946" s="50"/>
      <c r="O2946" s="5"/>
      <c r="P2946" s="9"/>
      <c r="Q2946" s="34"/>
      <c r="R2946" s="5"/>
      <c r="S2946" s="35"/>
    </row>
    <row r="2947" spans="1:19" ht="30" customHeight="1" x14ac:dyDescent="0.35">
      <c r="A2947" s="186"/>
      <c r="B2947" s="567"/>
      <c r="C2947" s="567"/>
      <c r="D2947" s="567"/>
      <c r="E2947" s="194"/>
      <c r="F2947" s="1216"/>
      <c r="G2947" s="1268" t="s">
        <v>197</v>
      </c>
      <c r="H2947" s="1268"/>
      <c r="I2947" s="1268"/>
      <c r="J2947" s="1268"/>
      <c r="K2947" s="196">
        <v>1.06</v>
      </c>
      <c r="L2947" s="186"/>
      <c r="M2947" s="50"/>
      <c r="N2947" s="50"/>
      <c r="O2947" s="5"/>
      <c r="P2947" s="9"/>
      <c r="Q2947" s="34"/>
      <c r="R2947" s="5"/>
      <c r="S2947" s="35"/>
    </row>
    <row r="2948" spans="1:19" ht="30" customHeight="1" x14ac:dyDescent="0.35">
      <c r="A2948" s="186"/>
      <c r="B2948" s="186"/>
      <c r="C2948" s="503"/>
      <c r="D2948" s="503"/>
      <c r="E2948" s="503"/>
      <c r="F2948" s="503"/>
      <c r="G2948" s="503"/>
      <c r="H2948" s="503"/>
      <c r="I2948" s="503"/>
      <c r="J2948" s="186" t="s">
        <v>37</v>
      </c>
      <c r="K2948" s="193">
        <f>+K2945*K2946/K2947</f>
        <v>25.668799999999997</v>
      </c>
      <c r="L2948" s="186" t="s">
        <v>108</v>
      </c>
      <c r="M2948" s="50"/>
      <c r="N2948" s="50"/>
      <c r="O2948" s="5"/>
      <c r="P2948" s="9"/>
      <c r="Q2948" s="34"/>
      <c r="R2948" s="5"/>
      <c r="S2948" s="35"/>
    </row>
    <row r="2949" spans="1:19" ht="30" customHeight="1" x14ac:dyDescent="0.35">
      <c r="A2949" s="755"/>
      <c r="B2949" s="755"/>
      <c r="C2949" s="114"/>
      <c r="D2949" s="114"/>
      <c r="E2949" s="114"/>
      <c r="F2949" s="114"/>
      <c r="G2949" s="1374" t="s">
        <v>257</v>
      </c>
      <c r="H2949" s="1375"/>
      <c r="I2949" s="1376"/>
      <c r="J2949" s="560">
        <f>VLOOKUP(B2941,'Mil Cost Premiums for PUCs'!$A$4:$R$285,18,FALSE)</f>
        <v>1.0905505199999999</v>
      </c>
      <c r="K2949" s="193">
        <f>+K2948*J2949</f>
        <v>27.993123187775993</v>
      </c>
      <c r="L2949" s="755" t="s">
        <v>108</v>
      </c>
      <c r="M2949" s="50"/>
      <c r="N2949" s="50"/>
      <c r="O2949" s="5"/>
      <c r="P2949" s="9"/>
      <c r="Q2949" s="34"/>
      <c r="R2949" s="5"/>
      <c r="S2949" s="35"/>
    </row>
    <row r="2950" spans="1:19" ht="30" customHeight="1" x14ac:dyDescent="0.35">
      <c r="A2950" s="569"/>
      <c r="B2950" s="569"/>
      <c r="C2950" s="510"/>
      <c r="D2950" s="510"/>
      <c r="E2950" s="510"/>
      <c r="F2950" s="510"/>
      <c r="G2950" s="1191" t="s">
        <v>2817</v>
      </c>
      <c r="H2950" s="1192"/>
      <c r="I2950" s="1193"/>
      <c r="J2950" s="570">
        <v>1.1214</v>
      </c>
      <c r="K2950" s="285">
        <f>+K2949*J2950</f>
        <v>31.391488342771996</v>
      </c>
      <c r="L2950" s="755" t="s">
        <v>108</v>
      </c>
      <c r="M2950" s="50"/>
      <c r="N2950" s="50"/>
      <c r="O2950" s="5"/>
      <c r="P2950" s="9"/>
      <c r="Q2950" s="34"/>
      <c r="R2950" s="5"/>
      <c r="S2950" s="35"/>
    </row>
    <row r="2951" spans="1:19" ht="30" customHeight="1" thickBot="1" x14ac:dyDescent="0.4">
      <c r="A2951" s="569"/>
      <c r="B2951" s="569"/>
      <c r="C2951" s="510"/>
      <c r="D2951" s="510"/>
      <c r="E2951" s="510"/>
      <c r="F2951" s="510"/>
      <c r="G2951" s="1191" t="s">
        <v>3000</v>
      </c>
      <c r="H2951" s="1192"/>
      <c r="I2951" s="1193"/>
      <c r="J2951" s="570">
        <v>1.0438745311870361</v>
      </c>
      <c r="K2951" s="285">
        <f>+K2950*J2951</f>
        <v>32.768775177074424</v>
      </c>
      <c r="L2951" s="755" t="s">
        <v>108</v>
      </c>
      <c r="M2951" s="50"/>
      <c r="N2951" s="50"/>
      <c r="O2951" s="5"/>
      <c r="P2951" s="9"/>
      <c r="Q2951" s="34"/>
      <c r="R2951" s="5"/>
      <c r="S2951" s="35"/>
    </row>
    <row r="2952" spans="1:19" ht="30" customHeight="1" thickBot="1" x14ac:dyDescent="0.4">
      <c r="A2952" s="1199"/>
      <c r="B2952" s="1200"/>
      <c r="C2952" s="1200"/>
      <c r="D2952" s="1200"/>
      <c r="E2952" s="1200"/>
      <c r="F2952" s="1200"/>
      <c r="G2952" s="1200"/>
      <c r="H2952" s="1200"/>
      <c r="I2952" s="1200"/>
      <c r="J2952" s="1200"/>
      <c r="K2952" s="1200"/>
      <c r="L2952" s="1201"/>
      <c r="M2952" s="50"/>
      <c r="N2952" s="50"/>
      <c r="O2952" s="5"/>
      <c r="P2952" s="9"/>
      <c r="Q2952" s="34"/>
      <c r="R2952" s="5"/>
      <c r="S2952" s="35"/>
    </row>
    <row r="2953" spans="1:19" ht="30" customHeight="1" x14ac:dyDescent="0.35">
      <c r="A2953" s="455" t="s">
        <v>1</v>
      </c>
      <c r="B2953" s="439">
        <v>7240</v>
      </c>
      <c r="C2953" s="1396" t="s">
        <v>1315</v>
      </c>
      <c r="D2953" s="1397"/>
      <c r="E2953" s="456" t="s">
        <v>3</v>
      </c>
      <c r="F2953" s="457" t="s">
        <v>108</v>
      </c>
      <c r="G2953" s="468" t="s">
        <v>38</v>
      </c>
      <c r="H2953" s="262">
        <v>14985</v>
      </c>
      <c r="I2953" s="456" t="s">
        <v>5</v>
      </c>
      <c r="J2953" s="1411" t="s">
        <v>1316</v>
      </c>
      <c r="K2953" s="1411"/>
      <c r="L2953" s="1412"/>
      <c r="M2953" s="50"/>
      <c r="N2953" s="50"/>
      <c r="O2953" s="5"/>
      <c r="P2953" s="9"/>
      <c r="Q2953" s="34"/>
      <c r="R2953" s="5"/>
      <c r="S2953" s="35"/>
    </row>
    <row r="2954" spans="1:19" ht="30" customHeight="1" x14ac:dyDescent="0.35">
      <c r="A2954" s="185" t="s">
        <v>177</v>
      </c>
      <c r="B2954" s="1272" t="s">
        <v>7</v>
      </c>
      <c r="C2954" s="1272"/>
      <c r="D2954" s="1272"/>
      <c r="E2954" s="492" t="s">
        <v>178</v>
      </c>
      <c r="F2954" s="397" t="s">
        <v>52</v>
      </c>
      <c r="G2954" s="185"/>
      <c r="H2954" s="185"/>
      <c r="I2954" s="1221" t="s">
        <v>56</v>
      </c>
      <c r="J2954" s="1222"/>
      <c r="K2954" s="1209" t="s">
        <v>180</v>
      </c>
      <c r="L2954" s="1210"/>
      <c r="M2954" s="50"/>
      <c r="O2954" s="5"/>
      <c r="P2954" s="9"/>
      <c r="Q2954" s="34"/>
      <c r="R2954" s="5"/>
      <c r="S2954" s="35"/>
    </row>
    <row r="2955" spans="1:19" ht="30" customHeight="1" x14ac:dyDescent="0.35">
      <c r="A2955" s="401" t="s">
        <v>181</v>
      </c>
      <c r="B2955" s="1265" t="s">
        <v>2462</v>
      </c>
      <c r="C2955" s="1265"/>
      <c r="D2955" s="1265"/>
      <c r="E2955" s="531">
        <v>97000</v>
      </c>
      <c r="F2955" s="187">
        <v>258</v>
      </c>
      <c r="G2955" s="532"/>
      <c r="H2955" s="533"/>
      <c r="I2955" s="1217">
        <f>+'FY2024 MILCON Inflation Table'!F13</f>
        <v>1.4708740491364725</v>
      </c>
      <c r="J2955" s="1218"/>
      <c r="K2955" s="187">
        <f>+F2955*I2955</f>
        <v>379.48550467720992</v>
      </c>
      <c r="L2955" s="401" t="s">
        <v>108</v>
      </c>
      <c r="M2955" s="96"/>
      <c r="N2955" s="50"/>
      <c r="O2955" s="5"/>
      <c r="P2955" s="9"/>
      <c r="Q2955" s="34"/>
      <c r="R2955" s="5"/>
      <c r="S2955" s="35"/>
    </row>
    <row r="2956" spans="1:19" ht="30" customHeight="1" thickBot="1" x14ac:dyDescent="0.4">
      <c r="A2956" s="755"/>
      <c r="B2956" s="1511"/>
      <c r="C2956" s="1521"/>
      <c r="D2956" s="1237"/>
      <c r="E2956" s="1005"/>
      <c r="F2956" s="1006"/>
      <c r="G2956" s="1006"/>
      <c r="H2956" s="1007"/>
      <c r="I2956" s="114"/>
      <c r="J2956" s="493" t="s">
        <v>37</v>
      </c>
      <c r="K2956" s="115">
        <f>+K2955</f>
        <v>379.48550467720992</v>
      </c>
      <c r="L2956" s="755" t="s">
        <v>108</v>
      </c>
      <c r="M2956" s="50"/>
      <c r="N2956" s="50"/>
      <c r="O2956" s="5"/>
      <c r="P2956" s="9"/>
      <c r="Q2956" s="34"/>
      <c r="R2956" s="5"/>
      <c r="S2956" s="35"/>
    </row>
    <row r="2957" spans="1:19" ht="30" customHeight="1" thickBot="1" x14ac:dyDescent="0.4">
      <c r="A2957" s="1632"/>
      <c r="B2957" s="1633"/>
      <c r="C2957" s="1633"/>
      <c r="D2957" s="1633"/>
      <c r="E2957" s="1633"/>
      <c r="F2957" s="1633"/>
      <c r="G2957" s="1633"/>
      <c r="H2957" s="1633"/>
      <c r="I2957" s="1633"/>
      <c r="J2957" s="1633"/>
      <c r="K2957" s="1633"/>
      <c r="L2957" s="1634"/>
      <c r="M2957" s="50"/>
      <c r="N2957" s="50"/>
      <c r="O2957" s="5"/>
      <c r="P2957" s="9"/>
      <c r="Q2957" s="34"/>
      <c r="R2957" s="5"/>
      <c r="S2957" s="35"/>
    </row>
    <row r="2958" spans="1:19" ht="30" customHeight="1" x14ac:dyDescent="0.35">
      <c r="A2958" s="455" t="s">
        <v>1</v>
      </c>
      <c r="B2958" s="439">
        <v>7241</v>
      </c>
      <c r="C2958" s="1396" t="s">
        <v>1317</v>
      </c>
      <c r="D2958" s="1397"/>
      <c r="E2958" s="456" t="s">
        <v>3</v>
      </c>
      <c r="F2958" s="457" t="s">
        <v>108</v>
      </c>
      <c r="G2958" s="468" t="s">
        <v>38</v>
      </c>
      <c r="H2958" s="65">
        <v>11459</v>
      </c>
      <c r="I2958" s="1014" t="s">
        <v>5</v>
      </c>
      <c r="J2958" s="1635" t="s">
        <v>1316</v>
      </c>
      <c r="K2958" s="1635"/>
      <c r="L2958" s="1635"/>
      <c r="M2958" s="50"/>
      <c r="N2958" s="50"/>
      <c r="O2958" s="5"/>
      <c r="P2958" s="9"/>
      <c r="Q2958" s="34"/>
      <c r="R2958" s="5"/>
      <c r="S2958" s="35"/>
    </row>
    <row r="2959" spans="1:19" ht="30" customHeight="1" x14ac:dyDescent="0.35">
      <c r="A2959" s="185" t="s">
        <v>177</v>
      </c>
      <c r="B2959" s="1272" t="s">
        <v>7</v>
      </c>
      <c r="C2959" s="1272"/>
      <c r="D2959" s="1272"/>
      <c r="E2959" s="492" t="s">
        <v>178</v>
      </c>
      <c r="F2959" s="397" t="s">
        <v>52</v>
      </c>
      <c r="G2959" s="185"/>
      <c r="H2959" s="124"/>
      <c r="I2959" s="1627" t="s">
        <v>56</v>
      </c>
      <c r="J2959" s="1627"/>
      <c r="K2959" s="1631" t="s">
        <v>180</v>
      </c>
      <c r="L2959" s="1631"/>
      <c r="M2959" s="50"/>
      <c r="N2959" s="50"/>
      <c r="O2959" s="5"/>
      <c r="P2959" s="9"/>
      <c r="Q2959" s="34"/>
      <c r="R2959" s="5"/>
      <c r="S2959" s="35"/>
    </row>
    <row r="2960" spans="1:19" ht="30" customHeight="1" x14ac:dyDescent="0.35">
      <c r="A2960" s="401" t="s">
        <v>181</v>
      </c>
      <c r="B2960" s="1265" t="s">
        <v>2872</v>
      </c>
      <c r="C2960" s="1265"/>
      <c r="D2960" s="1265"/>
      <c r="E2960" s="531">
        <v>97000</v>
      </c>
      <c r="F2960" s="187">
        <v>258</v>
      </c>
      <c r="G2960" s="532"/>
      <c r="H2960" s="1015"/>
      <c r="I2960" s="1767">
        <f>+'FY2024 MILCON Inflation Table'!F13</f>
        <v>1.4708740491364725</v>
      </c>
      <c r="J2960" s="1767"/>
      <c r="K2960" s="263">
        <f>+F2960*I2960</f>
        <v>379.48550467720992</v>
      </c>
      <c r="L2960" s="623" t="s">
        <v>108</v>
      </c>
      <c r="M2960" s="50"/>
      <c r="N2960" s="50"/>
      <c r="O2960" s="5"/>
      <c r="P2960" s="9"/>
      <c r="Q2960" s="34"/>
      <c r="R2960" s="5"/>
      <c r="S2960" s="35"/>
    </row>
    <row r="2961" spans="1:19" ht="30" customHeight="1" thickBot="1" x14ac:dyDescent="0.4">
      <c r="A2961" s="186"/>
      <c r="B2961" s="1264"/>
      <c r="C2961" s="1264"/>
      <c r="D2961" s="1264"/>
      <c r="E2961" s="535"/>
      <c r="F2961" s="536"/>
      <c r="G2961" s="536"/>
      <c r="H2961" s="537"/>
      <c r="I2961" s="421"/>
      <c r="J2961" s="566" t="s">
        <v>37</v>
      </c>
      <c r="K2961" s="348">
        <f>+K2960</f>
        <v>379.48550467720992</v>
      </c>
      <c r="L2961" s="422" t="s">
        <v>108</v>
      </c>
      <c r="M2961" s="50"/>
      <c r="N2961" s="50"/>
      <c r="O2961" s="5"/>
      <c r="P2961" s="9"/>
      <c r="Q2961" s="34"/>
      <c r="R2961" s="5"/>
      <c r="S2961" s="35"/>
    </row>
    <row r="2962" spans="1:19" ht="30" customHeight="1" thickBot="1" x14ac:dyDescent="0.4">
      <c r="A2962" s="1381"/>
      <c r="B2962" s="1382"/>
      <c r="C2962" s="1382"/>
      <c r="D2962" s="1382"/>
      <c r="E2962" s="1382"/>
      <c r="F2962" s="1382"/>
      <c r="G2962" s="1382"/>
      <c r="H2962" s="1382"/>
      <c r="I2962" s="1382"/>
      <c r="J2962" s="1382"/>
      <c r="K2962" s="1382"/>
      <c r="L2962" s="1383"/>
      <c r="M2962" s="50"/>
      <c r="N2962" s="50"/>
      <c r="O2962" s="5"/>
      <c r="P2962" s="9"/>
      <c r="Q2962" s="34"/>
      <c r="R2962" s="5"/>
      <c r="S2962" s="35"/>
    </row>
    <row r="2963" spans="1:19" ht="30" customHeight="1" x14ac:dyDescent="0.35">
      <c r="A2963" s="455" t="s">
        <v>1</v>
      </c>
      <c r="B2963" s="439">
        <v>7242</v>
      </c>
      <c r="C2963" s="1396" t="s">
        <v>1318</v>
      </c>
      <c r="D2963" s="1397"/>
      <c r="E2963" s="456" t="s">
        <v>3</v>
      </c>
      <c r="F2963" s="457" t="s">
        <v>108</v>
      </c>
      <c r="G2963" s="468" t="s">
        <v>38</v>
      </c>
      <c r="H2963" s="779">
        <v>33476.196428571398</v>
      </c>
      <c r="I2963" s="456" t="s">
        <v>5</v>
      </c>
      <c r="J2963" s="1207" t="s">
        <v>2481</v>
      </c>
      <c r="K2963" s="1207"/>
      <c r="L2963" s="1208"/>
      <c r="M2963" s="50"/>
      <c r="N2963" s="50"/>
      <c r="O2963" s="5"/>
      <c r="P2963" s="9"/>
      <c r="Q2963" s="34"/>
      <c r="R2963" s="5"/>
      <c r="S2963" s="35"/>
    </row>
    <row r="2964" spans="1:19" ht="30" customHeight="1" x14ac:dyDescent="0.35">
      <c r="A2964" s="494" t="s">
        <v>187</v>
      </c>
      <c r="B2964" s="1280" t="s">
        <v>211</v>
      </c>
      <c r="C2964" s="1281"/>
      <c r="D2964" s="1282"/>
      <c r="E2964" s="566" t="s">
        <v>52</v>
      </c>
      <c r="F2964" s="566" t="s">
        <v>53</v>
      </c>
      <c r="G2964" s="1219" t="s">
        <v>54</v>
      </c>
      <c r="H2964" s="1220"/>
      <c r="I2964" s="185" t="s">
        <v>188</v>
      </c>
      <c r="J2964" s="185"/>
      <c r="K2964" s="1209" t="s">
        <v>180</v>
      </c>
      <c r="L2964" s="1210"/>
      <c r="M2964" s="50"/>
      <c r="N2964" s="50"/>
      <c r="O2964" s="5"/>
      <c r="P2964" s="9"/>
      <c r="Q2964" s="34"/>
      <c r="R2964" s="5"/>
      <c r="S2964" s="35"/>
    </row>
    <row r="2965" spans="1:19" ht="30" customHeight="1" x14ac:dyDescent="0.35">
      <c r="A2965" s="1016" t="s">
        <v>1293</v>
      </c>
      <c r="B2965" s="1211" t="s">
        <v>2504</v>
      </c>
      <c r="C2965" s="1211"/>
      <c r="D2965" s="1211"/>
      <c r="E2965" s="194">
        <v>238</v>
      </c>
      <c r="F2965" s="186" t="s">
        <v>108</v>
      </c>
      <c r="G2965" s="186"/>
      <c r="H2965" s="186"/>
      <c r="I2965" s="204">
        <v>1.34</v>
      </c>
      <c r="J2965" s="204"/>
      <c r="K2965" s="194">
        <f>+E2965*I2965</f>
        <v>318.92</v>
      </c>
      <c r="L2965" s="186" t="s">
        <v>108</v>
      </c>
      <c r="M2965" s="50"/>
      <c r="N2965" s="50"/>
    </row>
    <row r="2966" spans="1:19" ht="30" customHeight="1" x14ac:dyDescent="0.35">
      <c r="A2966" s="1016" t="s">
        <v>1293</v>
      </c>
      <c r="B2966" s="1017" t="s">
        <v>2509</v>
      </c>
      <c r="C2966" s="1018"/>
      <c r="D2966" s="1018"/>
      <c r="E2966" s="279">
        <f>+E2965*0.005</f>
        <v>1.19</v>
      </c>
      <c r="F2966" s="186" t="s">
        <v>108</v>
      </c>
      <c r="G2966" s="271"/>
      <c r="H2966" s="271"/>
      <c r="I2966" s="204">
        <v>1.34</v>
      </c>
      <c r="J2966" s="782"/>
      <c r="K2966" s="194">
        <f>+E2966*I2966</f>
        <v>1.5946</v>
      </c>
      <c r="L2966" s="186" t="s">
        <v>108</v>
      </c>
      <c r="M2966" s="50"/>
      <c r="N2966" s="50"/>
      <c r="O2966" s="5"/>
      <c r="P2966" s="9"/>
      <c r="Q2966" s="34"/>
      <c r="R2966" s="5"/>
      <c r="S2966" s="35"/>
    </row>
    <row r="2967" spans="1:19" ht="30" customHeight="1" x14ac:dyDescent="0.35">
      <c r="A2967" s="985" t="s">
        <v>1191</v>
      </c>
      <c r="B2967" s="1202" t="s">
        <v>2508</v>
      </c>
      <c r="C2967" s="1203"/>
      <c r="D2967" s="1203"/>
      <c r="E2967" s="194">
        <v>3.66</v>
      </c>
      <c r="F2967" s="186" t="s">
        <v>108</v>
      </c>
      <c r="G2967" s="503"/>
      <c r="H2967" s="534"/>
      <c r="I2967" s="204">
        <v>1.34</v>
      </c>
      <c r="J2967" s="204"/>
      <c r="K2967" s="194">
        <f>+E2967*I2967</f>
        <v>4.9044000000000008</v>
      </c>
      <c r="L2967" s="186" t="s">
        <v>108</v>
      </c>
      <c r="M2967" s="50"/>
      <c r="N2967" s="50"/>
      <c r="O2967" s="5"/>
      <c r="P2967" s="9"/>
      <c r="Q2967" s="34"/>
      <c r="R2967" s="5"/>
      <c r="S2967" s="35"/>
    </row>
    <row r="2968" spans="1:19" ht="30" customHeight="1" x14ac:dyDescent="0.35">
      <c r="A2968" s="186"/>
      <c r="B2968" s="1264"/>
      <c r="C2968" s="1264"/>
      <c r="D2968" s="1264"/>
      <c r="E2968" s="194"/>
      <c r="F2968" s="186"/>
      <c r="G2968" s="503"/>
      <c r="H2968" s="534"/>
      <c r="I2968" s="186"/>
      <c r="J2968" s="186" t="s">
        <v>223</v>
      </c>
      <c r="K2968" s="194">
        <f>SUM(K2965:K2967)</f>
        <v>325.41900000000004</v>
      </c>
      <c r="L2968" s="186" t="s">
        <v>108</v>
      </c>
      <c r="M2968" s="50"/>
      <c r="O2968" s="5"/>
      <c r="P2968" s="9"/>
      <c r="Q2968" s="34"/>
      <c r="R2968" s="5"/>
      <c r="S2968" s="35"/>
    </row>
    <row r="2969" spans="1:19" ht="30" customHeight="1" x14ac:dyDescent="0.35">
      <c r="A2969" s="186"/>
      <c r="B2969" s="567"/>
      <c r="C2969" s="567"/>
      <c r="D2969" s="567"/>
      <c r="E2969" s="194"/>
      <c r="F2969" s="1215" t="s">
        <v>195</v>
      </c>
      <c r="G2969" s="1273" t="s">
        <v>196</v>
      </c>
      <c r="H2969" s="1273"/>
      <c r="I2969" s="1273"/>
      <c r="J2969" s="1273"/>
      <c r="K2969" s="196">
        <v>1.08</v>
      </c>
      <c r="L2969" s="186"/>
      <c r="M2969" s="50"/>
      <c r="N2969" s="50"/>
      <c r="O2969" s="5"/>
      <c r="P2969" s="9"/>
      <c r="Q2969" s="34"/>
      <c r="R2969" s="5"/>
      <c r="S2969" s="35"/>
    </row>
    <row r="2970" spans="1:19" ht="30" customHeight="1" x14ac:dyDescent="0.35">
      <c r="A2970" s="186"/>
      <c r="B2970" s="567"/>
      <c r="C2970" s="567"/>
      <c r="D2970" s="567"/>
      <c r="E2970" s="194"/>
      <c r="F2970" s="1216"/>
      <c r="G2970" s="1268" t="s">
        <v>2477</v>
      </c>
      <c r="H2970" s="1268"/>
      <c r="I2970" s="1268"/>
      <c r="J2970" s="1268"/>
      <c r="K2970" s="196">
        <v>1.05</v>
      </c>
      <c r="L2970" s="186"/>
      <c r="M2970" s="50"/>
      <c r="N2970" s="50"/>
      <c r="O2970" s="5"/>
      <c r="P2970" s="9"/>
      <c r="Q2970" s="34"/>
      <c r="R2970" s="5"/>
      <c r="S2970" s="35"/>
    </row>
    <row r="2971" spans="1:19" ht="30" customHeight="1" x14ac:dyDescent="0.35">
      <c r="A2971" s="186"/>
      <c r="B2971" s="186"/>
      <c r="C2971" s="503"/>
      <c r="D2971" s="503"/>
      <c r="E2971" s="503"/>
      <c r="F2971" s="503"/>
      <c r="G2971" s="503"/>
      <c r="H2971" s="503"/>
      <c r="I2971" s="503"/>
      <c r="J2971" s="503" t="s">
        <v>37</v>
      </c>
      <c r="K2971" s="193">
        <f>+K2968*K2969/K2970</f>
        <v>334.71668571428575</v>
      </c>
      <c r="L2971" s="186" t="s">
        <v>108</v>
      </c>
      <c r="M2971" s="50"/>
      <c r="N2971" s="50"/>
      <c r="O2971" s="5"/>
      <c r="P2971" s="9"/>
      <c r="Q2971" s="34"/>
      <c r="R2971" s="5"/>
      <c r="S2971" s="35"/>
    </row>
    <row r="2972" spans="1:19" ht="30" customHeight="1" x14ac:dyDescent="0.35">
      <c r="A2972" s="186"/>
      <c r="B2972" s="186"/>
      <c r="C2972" s="503"/>
      <c r="D2972" s="503"/>
      <c r="E2972" s="503"/>
      <c r="F2972" s="503"/>
      <c r="G2972" s="1374" t="s">
        <v>257</v>
      </c>
      <c r="H2972" s="1375"/>
      <c r="I2972" s="1376"/>
      <c r="J2972" s="560">
        <f>VLOOKUP(B2963,'Mil Cost Premiums for PUCs'!$A$4:$R$285,18,FALSE)</f>
        <v>1.3319480854780448</v>
      </c>
      <c r="K2972" s="193">
        <f>+K2971*J2972</f>
        <v>445.82524871469934</v>
      </c>
      <c r="L2972" s="186" t="s">
        <v>108</v>
      </c>
      <c r="M2972" s="50"/>
      <c r="N2972" s="50"/>
      <c r="O2972" s="5"/>
      <c r="P2972" s="9"/>
      <c r="Q2972" s="34"/>
      <c r="R2972" s="5"/>
      <c r="S2972" s="35"/>
    </row>
    <row r="2973" spans="1:19" ht="30" customHeight="1" thickBot="1" x14ac:dyDescent="0.4">
      <c r="A2973" s="186"/>
      <c r="B2973" s="186"/>
      <c r="C2973" s="503"/>
      <c r="D2973" s="503"/>
      <c r="E2973" s="503"/>
      <c r="F2973" s="503"/>
      <c r="G2973" s="1628" t="s">
        <v>3000</v>
      </c>
      <c r="H2973" s="1629"/>
      <c r="I2973" s="1630"/>
      <c r="J2973" s="560">
        <v>1.0438745311870361</v>
      </c>
      <c r="K2973" s="193">
        <f>+K2972*J2973</f>
        <v>465.38562249340055</v>
      </c>
      <c r="L2973" s="186" t="s">
        <v>108</v>
      </c>
      <c r="M2973" s="50"/>
      <c r="N2973" s="50"/>
      <c r="O2973" s="5"/>
      <c r="P2973" s="9"/>
      <c r="Q2973" s="34"/>
      <c r="R2973" s="5"/>
      <c r="S2973" s="35"/>
    </row>
    <row r="2974" spans="1:19" ht="30" customHeight="1" thickBot="1" x14ac:dyDescent="0.4">
      <c r="A2974" s="385"/>
      <c r="B2974" s="1200"/>
      <c r="C2974" s="1200"/>
      <c r="D2974" s="1200"/>
      <c r="E2974" s="1200"/>
      <c r="F2974" s="1200"/>
      <c r="G2974" s="1200"/>
      <c r="H2974" s="1200"/>
      <c r="I2974" s="1200"/>
      <c r="J2974" s="1200"/>
      <c r="K2974" s="1200"/>
      <c r="L2974" s="1201"/>
      <c r="M2974" s="50"/>
      <c r="N2974" s="50"/>
      <c r="O2974" s="5"/>
      <c r="P2974" s="9"/>
      <c r="Q2974" s="34"/>
      <c r="R2974" s="5"/>
      <c r="S2974" s="35"/>
    </row>
    <row r="2975" spans="1:19" ht="30" customHeight="1" x14ac:dyDescent="0.35">
      <c r="A2975" s="388" t="s">
        <v>1</v>
      </c>
      <c r="B2975" s="389">
        <v>7250</v>
      </c>
      <c r="C2975" s="1408" t="s">
        <v>1319</v>
      </c>
      <c r="D2975" s="1409"/>
      <c r="E2975" s="392" t="s">
        <v>3</v>
      </c>
      <c r="F2975" s="393" t="s">
        <v>108</v>
      </c>
      <c r="G2975" s="390" t="s">
        <v>38</v>
      </c>
      <c r="H2975" s="134">
        <v>4111.3906077658903</v>
      </c>
      <c r="I2975" s="392" t="s">
        <v>5</v>
      </c>
      <c r="J2975" s="1207" t="s">
        <v>2861</v>
      </c>
      <c r="K2975" s="1207"/>
      <c r="L2975" s="1208"/>
      <c r="M2975" s="50"/>
      <c r="N2975" s="50"/>
    </row>
    <row r="2976" spans="1:19" ht="30" customHeight="1" x14ac:dyDescent="0.35">
      <c r="A2976" s="185" t="s">
        <v>177</v>
      </c>
      <c r="B2976" s="1272" t="s">
        <v>7</v>
      </c>
      <c r="C2976" s="1272"/>
      <c r="D2976" s="1272"/>
      <c r="E2976" s="492" t="s">
        <v>178</v>
      </c>
      <c r="F2976" s="397" t="s">
        <v>52</v>
      </c>
      <c r="G2976" s="185"/>
      <c r="H2976" s="185"/>
      <c r="I2976" s="1223" t="s">
        <v>56</v>
      </c>
      <c r="J2976" s="1224"/>
      <c r="K2976" s="1209" t="s">
        <v>180</v>
      </c>
      <c r="L2976" s="1210"/>
      <c r="M2976" s="50"/>
      <c r="N2976" s="50"/>
      <c r="O2976" s="5"/>
      <c r="P2976" s="9"/>
      <c r="Q2976" s="34"/>
      <c r="R2976" s="5"/>
      <c r="S2976" s="35"/>
    </row>
    <row r="2977" spans="1:19" ht="30" customHeight="1" x14ac:dyDescent="0.35">
      <c r="A2977" s="401" t="s">
        <v>181</v>
      </c>
      <c r="B2977" s="1265" t="s">
        <v>1267</v>
      </c>
      <c r="C2977" s="1265"/>
      <c r="D2977" s="1265"/>
      <c r="E2977" s="531">
        <v>63000</v>
      </c>
      <c r="F2977" s="187">
        <v>510</v>
      </c>
      <c r="G2977" s="532"/>
      <c r="H2977" s="533"/>
      <c r="I2977" s="1217" t="s">
        <v>2860</v>
      </c>
      <c r="J2977" s="1218"/>
      <c r="K2977" s="187">
        <f>+F2977</f>
        <v>510</v>
      </c>
      <c r="L2977" s="401" t="s">
        <v>108</v>
      </c>
      <c r="M2977" s="50"/>
      <c r="N2977" s="50"/>
      <c r="O2977" s="5"/>
      <c r="P2977" s="9"/>
      <c r="Q2977" s="34"/>
      <c r="R2977" s="5"/>
      <c r="S2977" s="35"/>
    </row>
    <row r="2978" spans="1:19" ht="30" customHeight="1" thickBot="1" x14ac:dyDescent="0.4">
      <c r="A2978" s="755"/>
      <c r="B2978" s="1589"/>
      <c r="C2978" s="1589"/>
      <c r="D2978" s="1589"/>
      <c r="E2978" s="1005"/>
      <c r="F2978" s="1006"/>
      <c r="G2978" s="1006"/>
      <c r="H2978" s="1007"/>
      <c r="I2978" s="114"/>
      <c r="J2978" s="493" t="s">
        <v>37</v>
      </c>
      <c r="K2978" s="115">
        <f>+K2977</f>
        <v>510</v>
      </c>
      <c r="L2978" s="755" t="s">
        <v>108</v>
      </c>
      <c r="M2978" s="50"/>
      <c r="N2978" s="50"/>
      <c r="O2978" s="5"/>
      <c r="P2978" s="9"/>
      <c r="Q2978" s="34"/>
      <c r="R2978" s="5"/>
      <c r="S2978" s="35"/>
    </row>
    <row r="2979" spans="1:19" ht="30" customHeight="1" thickBot="1" x14ac:dyDescent="0.4">
      <c r="A2979" s="1199"/>
      <c r="B2979" s="1200"/>
      <c r="C2979" s="1200"/>
      <c r="D2979" s="1200"/>
      <c r="E2979" s="1200"/>
      <c r="F2979" s="1200"/>
      <c r="G2979" s="1200"/>
      <c r="H2979" s="1200"/>
      <c r="I2979" s="1200"/>
      <c r="J2979" s="1200"/>
      <c r="K2979" s="1200"/>
      <c r="L2979" s="1201"/>
      <c r="M2979" s="50"/>
      <c r="N2979" s="50"/>
      <c r="O2979" s="5"/>
      <c r="P2979" s="9"/>
      <c r="Q2979" s="34"/>
      <c r="R2979" s="5"/>
      <c r="S2979" s="35"/>
    </row>
    <row r="2980" spans="1:19" ht="30" customHeight="1" x14ac:dyDescent="0.35">
      <c r="A2980" s="388" t="s">
        <v>1</v>
      </c>
      <c r="B2980" s="389">
        <v>7251</v>
      </c>
      <c r="C2980" s="1290" t="s">
        <v>2510</v>
      </c>
      <c r="D2980" s="1291"/>
      <c r="E2980" s="392" t="s">
        <v>3</v>
      </c>
      <c r="F2980" s="393" t="s">
        <v>108</v>
      </c>
      <c r="G2980" s="390" t="s">
        <v>38</v>
      </c>
      <c r="H2980" s="135">
        <v>1719</v>
      </c>
      <c r="I2980" s="392" t="s">
        <v>5</v>
      </c>
      <c r="J2980" s="1207" t="s">
        <v>2538</v>
      </c>
      <c r="K2980" s="1207"/>
      <c r="L2980" s="1208"/>
      <c r="M2980" s="96"/>
      <c r="N2980" s="50"/>
      <c r="O2980" s="5"/>
      <c r="P2980" s="9"/>
      <c r="Q2980" s="34"/>
      <c r="R2980" s="5"/>
      <c r="S2980" s="35"/>
    </row>
    <row r="2981" spans="1:19" ht="30" customHeight="1" x14ac:dyDescent="0.35">
      <c r="A2981" s="185" t="s">
        <v>177</v>
      </c>
      <c r="B2981" s="1272" t="s">
        <v>7</v>
      </c>
      <c r="C2981" s="1272"/>
      <c r="D2981" s="1272"/>
      <c r="E2981" s="397" t="s">
        <v>52</v>
      </c>
      <c r="F2981" s="185" t="s">
        <v>9</v>
      </c>
      <c r="G2981" s="1292" t="s">
        <v>54</v>
      </c>
      <c r="H2981" s="1293"/>
      <c r="I2981" s="1221" t="s">
        <v>1321</v>
      </c>
      <c r="J2981" s="1222"/>
      <c r="K2981" s="1209" t="s">
        <v>180</v>
      </c>
      <c r="L2981" s="1210"/>
      <c r="M2981" s="96"/>
      <c r="N2981" s="50"/>
      <c r="O2981" s="5"/>
      <c r="P2981" s="9"/>
      <c r="Q2981" s="34"/>
      <c r="R2981" s="5"/>
      <c r="S2981" s="35"/>
    </row>
    <row r="2982" spans="1:19" ht="30" customHeight="1" x14ac:dyDescent="0.35">
      <c r="A2982" s="186">
        <v>93210</v>
      </c>
      <c r="B2982" s="1212" t="s">
        <v>1322</v>
      </c>
      <c r="C2982" s="1213"/>
      <c r="D2982" s="1214"/>
      <c r="E2982" s="194">
        <v>6.42</v>
      </c>
      <c r="F2982" s="203" t="s">
        <v>16</v>
      </c>
      <c r="G2982" s="525">
        <v>27</v>
      </c>
      <c r="H2982" s="401" t="s">
        <v>2585</v>
      </c>
      <c r="I2982" s="1492">
        <f>+'FY2024 MILCON Inflation Table'!F22</f>
        <v>0.95834826759383673</v>
      </c>
      <c r="J2982" s="1493"/>
      <c r="K2982" s="189">
        <f>+E2982/G2982*I2982</f>
        <v>0.22787392140564564</v>
      </c>
      <c r="L2982" s="401" t="s">
        <v>108</v>
      </c>
      <c r="M2982" s="50"/>
      <c r="N2982" s="50"/>
      <c r="O2982" s="5"/>
      <c r="P2982" s="9"/>
      <c r="Q2982" s="34"/>
      <c r="R2982" s="5"/>
      <c r="S2982" s="35"/>
    </row>
    <row r="2983" spans="1:19" ht="30" customHeight="1" x14ac:dyDescent="0.35">
      <c r="A2983" s="186">
        <v>93210</v>
      </c>
      <c r="B2983" s="1264" t="s">
        <v>2582</v>
      </c>
      <c r="C2983" s="1264"/>
      <c r="D2983" s="1264"/>
      <c r="E2983" s="194">
        <v>5.84</v>
      </c>
      <c r="F2983" s="203" t="s">
        <v>4</v>
      </c>
      <c r="G2983" s="525">
        <v>9</v>
      </c>
      <c r="H2983" s="401" t="s">
        <v>816</v>
      </c>
      <c r="I2983" s="1492">
        <f>+I2982</f>
        <v>0.95834826759383673</v>
      </c>
      <c r="J2983" s="1493"/>
      <c r="K2983" s="189">
        <f>+E2983/G2983*I2983</f>
        <v>0.62186154252755621</v>
      </c>
      <c r="L2983" s="401" t="s">
        <v>108</v>
      </c>
      <c r="M2983" s="50"/>
      <c r="N2983" s="50"/>
      <c r="O2983" s="50"/>
      <c r="P2983" s="9"/>
      <c r="Q2983" s="34"/>
      <c r="R2983" s="5"/>
      <c r="S2983" s="35"/>
    </row>
    <row r="2984" spans="1:19" ht="30" customHeight="1" x14ac:dyDescent="0.35">
      <c r="A2984" s="186">
        <v>85110</v>
      </c>
      <c r="B2984" s="1202" t="s">
        <v>2583</v>
      </c>
      <c r="C2984" s="1203"/>
      <c r="D2984" s="1204"/>
      <c r="E2984" s="194">
        <v>44.18</v>
      </c>
      <c r="F2984" s="203" t="s">
        <v>4</v>
      </c>
      <c r="G2984" s="525">
        <v>9</v>
      </c>
      <c r="H2984" s="401" t="s">
        <v>816</v>
      </c>
      <c r="I2984" s="1492">
        <f>+I2982</f>
        <v>0.95834826759383673</v>
      </c>
      <c r="J2984" s="1493"/>
      <c r="K2984" s="189">
        <f>+E2984/G2984*I2984</f>
        <v>4.7044251624773006</v>
      </c>
      <c r="L2984" s="401" t="s">
        <v>108</v>
      </c>
      <c r="M2984" s="50"/>
      <c r="N2984" s="472"/>
      <c r="O2984" s="5"/>
      <c r="P2984" s="9"/>
      <c r="Q2984" s="34"/>
      <c r="R2984" s="5"/>
      <c r="S2984" s="35"/>
    </row>
    <row r="2985" spans="1:19" ht="30" customHeight="1" x14ac:dyDescent="0.35">
      <c r="A2985" s="186">
        <v>85110</v>
      </c>
      <c r="B2985" s="1202" t="s">
        <v>2584</v>
      </c>
      <c r="C2985" s="1203"/>
      <c r="D2985" s="1204"/>
      <c r="E2985" s="194">
        <v>78.5</v>
      </c>
      <c r="F2985" s="203" t="s">
        <v>4</v>
      </c>
      <c r="G2985" s="525">
        <v>9</v>
      </c>
      <c r="H2985" s="401" t="s">
        <v>816</v>
      </c>
      <c r="I2985" s="1492">
        <f>+I2982</f>
        <v>0.95834826759383673</v>
      </c>
      <c r="J2985" s="1493"/>
      <c r="K2985" s="189">
        <f>+E2985/G2985*I2985</f>
        <v>8.3589265562351311</v>
      </c>
      <c r="L2985" s="401" t="s">
        <v>108</v>
      </c>
      <c r="M2985" s="50"/>
      <c r="N2985" s="53"/>
      <c r="O2985" s="5"/>
      <c r="P2985" s="9"/>
      <c r="Q2985" s="34"/>
      <c r="R2985" s="5"/>
      <c r="S2985" s="35"/>
    </row>
    <row r="2986" spans="1:19" ht="30" customHeight="1" thickBot="1" x14ac:dyDescent="0.4">
      <c r="A2986" s="186"/>
      <c r="B2986" s="1202"/>
      <c r="C2986" s="1203"/>
      <c r="D2986" s="1204"/>
      <c r="E2986" s="520"/>
      <c r="F2986" s="784"/>
      <c r="G2986" s="520"/>
      <c r="H2986" s="750" t="s">
        <v>223</v>
      </c>
      <c r="I2986" s="503"/>
      <c r="J2986" s="494" t="s">
        <v>37</v>
      </c>
      <c r="K2986" s="190">
        <f>SUM(K2982:K2985)</f>
        <v>13.913087182645633</v>
      </c>
      <c r="L2986" s="401" t="s">
        <v>108</v>
      </c>
      <c r="M2986" s="50"/>
      <c r="N2986" s="50"/>
      <c r="O2986" s="5"/>
      <c r="P2986" s="9"/>
      <c r="Q2986" s="34"/>
      <c r="R2986" s="5"/>
      <c r="S2986" s="35"/>
    </row>
    <row r="2987" spans="1:19" ht="30" customHeight="1" thickBot="1" x14ac:dyDescent="0.4">
      <c r="A2987" s="1199"/>
      <c r="B2987" s="1200"/>
      <c r="C2987" s="1200"/>
      <c r="D2987" s="1200"/>
      <c r="E2987" s="1200"/>
      <c r="F2987" s="1200"/>
      <c r="G2987" s="1200"/>
      <c r="H2987" s="1200"/>
      <c r="I2987" s="1200"/>
      <c r="J2987" s="1200"/>
      <c r="K2987" s="1200"/>
      <c r="L2987" s="1201"/>
      <c r="M2987" s="50"/>
      <c r="N2987" s="50"/>
      <c r="O2987" s="5"/>
      <c r="P2987" s="9"/>
      <c r="Q2987" s="34"/>
      <c r="R2987" s="5"/>
      <c r="S2987" s="35"/>
    </row>
    <row r="2988" spans="1:19" ht="30" customHeight="1" x14ac:dyDescent="0.35">
      <c r="A2988" s="388" t="s">
        <v>1</v>
      </c>
      <c r="B2988" s="389">
        <v>7311</v>
      </c>
      <c r="C2988" s="1205" t="s">
        <v>1323</v>
      </c>
      <c r="D2988" s="1206"/>
      <c r="E2988" s="392" t="s">
        <v>3</v>
      </c>
      <c r="F2988" s="393" t="s">
        <v>108</v>
      </c>
      <c r="G2988" s="390" t="s">
        <v>38</v>
      </c>
      <c r="H2988" s="135">
        <v>7966.45</v>
      </c>
      <c r="I2988" s="392" t="s">
        <v>5</v>
      </c>
      <c r="J2988" s="1207" t="s">
        <v>2861</v>
      </c>
      <c r="K2988" s="1207"/>
      <c r="L2988" s="1208"/>
      <c r="M2988" s="96"/>
      <c r="N2988" s="50"/>
    </row>
    <row r="2989" spans="1:19" ht="30" customHeight="1" x14ac:dyDescent="0.35">
      <c r="A2989" s="185" t="s">
        <v>177</v>
      </c>
      <c r="B2989" s="1272" t="s">
        <v>7</v>
      </c>
      <c r="C2989" s="1272"/>
      <c r="D2989" s="1272"/>
      <c r="E2989" s="185" t="s">
        <v>178</v>
      </c>
      <c r="F2989" s="185" t="s">
        <v>52</v>
      </c>
      <c r="G2989" s="1292"/>
      <c r="H2989" s="1293"/>
      <c r="I2989" s="1223" t="s">
        <v>56</v>
      </c>
      <c r="J2989" s="1224"/>
      <c r="K2989" s="1209" t="s">
        <v>180</v>
      </c>
      <c r="L2989" s="1210"/>
      <c r="M2989" s="96"/>
      <c r="N2989" s="50"/>
      <c r="O2989" s="5"/>
      <c r="P2989" s="9"/>
      <c r="Q2989" s="34"/>
      <c r="R2989" s="5"/>
      <c r="S2989" s="35"/>
    </row>
    <row r="2990" spans="1:19" ht="30" customHeight="1" x14ac:dyDescent="0.35">
      <c r="A2990" s="186" t="s">
        <v>181</v>
      </c>
      <c r="B2990" s="1202" t="s">
        <v>1324</v>
      </c>
      <c r="C2990" s="1203"/>
      <c r="D2990" s="1204"/>
      <c r="E2990" s="531">
        <v>9000</v>
      </c>
      <c r="F2990" s="344">
        <v>1015</v>
      </c>
      <c r="G2990" s="525"/>
      <c r="H2990" s="401"/>
      <c r="I2990" s="1217" t="s">
        <v>2860</v>
      </c>
      <c r="J2990" s="1218"/>
      <c r="K2990" s="287">
        <f>+F2990</f>
        <v>1015</v>
      </c>
      <c r="L2990" s="401" t="s">
        <v>108</v>
      </c>
      <c r="M2990" s="50"/>
      <c r="N2990" s="50"/>
      <c r="O2990" s="5"/>
      <c r="P2990" s="9"/>
      <c r="Q2990" s="34"/>
      <c r="R2990" s="5"/>
      <c r="S2990" s="35"/>
    </row>
    <row r="2991" spans="1:19" ht="30" customHeight="1" thickBot="1" x14ac:dyDescent="0.4">
      <c r="A2991" s="755"/>
      <c r="B2991" s="1622"/>
      <c r="C2991" s="1512"/>
      <c r="D2991" s="1256"/>
      <c r="E2991" s="1019"/>
      <c r="F2991" s="1020"/>
      <c r="G2991" s="1019"/>
      <c r="H2991" s="1021"/>
      <c r="I2991" s="114"/>
      <c r="J2991" s="493" t="s">
        <v>37</v>
      </c>
      <c r="K2991" s="264">
        <f>SUM(K2990:K2990)</f>
        <v>1015</v>
      </c>
      <c r="L2991" s="753" t="s">
        <v>108</v>
      </c>
      <c r="M2991" s="50"/>
      <c r="N2991" s="50"/>
      <c r="O2991" s="5"/>
      <c r="P2991" s="9"/>
      <c r="Q2991" s="34"/>
      <c r="R2991" s="5"/>
      <c r="S2991" s="35"/>
    </row>
    <row r="2992" spans="1:19" ht="30" customHeight="1" thickBot="1" x14ac:dyDescent="0.4">
      <c r="A2992" s="1429"/>
      <c r="B2992" s="1430"/>
      <c r="C2992" s="1430"/>
      <c r="D2992" s="1430"/>
      <c r="E2992" s="1430"/>
      <c r="F2992" s="1430"/>
      <c r="G2992" s="1430"/>
      <c r="H2992" s="1430"/>
      <c r="I2992" s="1430"/>
      <c r="J2992" s="1430"/>
      <c r="K2992" s="1430"/>
      <c r="L2992" s="1431"/>
      <c r="M2992" s="50"/>
      <c r="N2992" s="50"/>
      <c r="O2992" s="5"/>
      <c r="P2992" s="9"/>
      <c r="Q2992" s="34"/>
      <c r="R2992" s="5"/>
      <c r="S2992" s="35"/>
    </row>
    <row r="2993" spans="1:19" ht="30" customHeight="1" x14ac:dyDescent="0.35">
      <c r="A2993" s="455" t="s">
        <v>1</v>
      </c>
      <c r="B2993" s="439">
        <v>7312</v>
      </c>
      <c r="C2993" s="1571" t="s">
        <v>1325</v>
      </c>
      <c r="D2993" s="1572"/>
      <c r="E2993" s="456" t="s">
        <v>3</v>
      </c>
      <c r="F2993" s="457" t="s">
        <v>108</v>
      </c>
      <c r="G2993" s="468" t="s">
        <v>38</v>
      </c>
      <c r="H2993" s="47">
        <v>15786.709090909</v>
      </c>
      <c r="I2993" s="456" t="s">
        <v>5</v>
      </c>
      <c r="J2993" s="1411" t="s">
        <v>2481</v>
      </c>
      <c r="K2993" s="1411"/>
      <c r="L2993" s="1412"/>
      <c r="M2993" s="50"/>
      <c r="N2993" s="50"/>
      <c r="O2993" s="5"/>
      <c r="P2993" s="9"/>
      <c r="Q2993" s="34"/>
      <c r="R2993" s="5"/>
      <c r="S2993" s="35"/>
    </row>
    <row r="2994" spans="1:19" ht="30" customHeight="1" x14ac:dyDescent="0.35">
      <c r="A2994" s="494" t="s">
        <v>187</v>
      </c>
      <c r="B2994" s="1280" t="s">
        <v>211</v>
      </c>
      <c r="C2994" s="1281"/>
      <c r="D2994" s="1282"/>
      <c r="E2994" s="566" t="s">
        <v>52</v>
      </c>
      <c r="F2994" s="566" t="s">
        <v>53</v>
      </c>
      <c r="G2994" s="1219" t="s">
        <v>54</v>
      </c>
      <c r="H2994" s="1220"/>
      <c r="I2994" s="185" t="s">
        <v>1051</v>
      </c>
      <c r="J2994" s="185" t="s">
        <v>188</v>
      </c>
      <c r="K2994" s="1209" t="s">
        <v>180</v>
      </c>
      <c r="L2994" s="1210"/>
      <c r="M2994" s="50"/>
      <c r="O2994" s="5"/>
      <c r="P2994" s="9"/>
      <c r="Q2994" s="34"/>
      <c r="R2994" s="5"/>
      <c r="S2994" s="35"/>
    </row>
    <row r="2995" spans="1:19" ht="30" customHeight="1" x14ac:dyDescent="0.35">
      <c r="A2995" s="790" t="s">
        <v>283</v>
      </c>
      <c r="B2995" s="1212" t="s">
        <v>1326</v>
      </c>
      <c r="C2995" s="1213"/>
      <c r="D2995" s="1214"/>
      <c r="E2995" s="194">
        <v>250</v>
      </c>
      <c r="F2995" s="422" t="s">
        <v>108</v>
      </c>
      <c r="G2995" s="707"/>
      <c r="H2995" s="708"/>
      <c r="I2995" s="278"/>
      <c r="J2995" s="186">
        <v>1.1200000000000001</v>
      </c>
      <c r="K2995" s="194">
        <f>+E2995*J2995</f>
        <v>280</v>
      </c>
      <c r="L2995" s="186" t="s">
        <v>108</v>
      </c>
      <c r="M2995" s="50"/>
      <c r="N2995" s="50"/>
      <c r="O2995" s="5"/>
      <c r="P2995" s="9"/>
      <c r="Q2995" s="34"/>
      <c r="R2995" s="5"/>
      <c r="S2995" s="35"/>
    </row>
    <row r="2996" spans="1:19" ht="30" customHeight="1" x14ac:dyDescent="0.35">
      <c r="A2996" s="1016" t="s">
        <v>285</v>
      </c>
      <c r="B2996" s="1202" t="s">
        <v>286</v>
      </c>
      <c r="C2996" s="1203"/>
      <c r="D2996" s="1203"/>
      <c r="E2996" s="194">
        <v>4.54</v>
      </c>
      <c r="F2996" s="422" t="s">
        <v>108</v>
      </c>
      <c r="G2996" s="707"/>
      <c r="H2996" s="708"/>
      <c r="I2996" s="278"/>
      <c r="J2996" s="186">
        <v>1.1200000000000001</v>
      </c>
      <c r="K2996" s="194">
        <f>+E2996*J2996</f>
        <v>5.0848000000000004</v>
      </c>
      <c r="L2996" s="186" t="s">
        <v>108</v>
      </c>
      <c r="M2996" s="50"/>
      <c r="N2996" s="50"/>
      <c r="O2996" s="5"/>
      <c r="P2996" s="9"/>
      <c r="Q2996" s="34"/>
      <c r="R2996" s="5"/>
      <c r="S2996" s="35"/>
    </row>
    <row r="2997" spans="1:19" ht="30" customHeight="1" x14ac:dyDescent="0.35">
      <c r="A2997" s="186" t="s">
        <v>268</v>
      </c>
      <c r="B2997" s="1212" t="s">
        <v>2501</v>
      </c>
      <c r="C2997" s="1213"/>
      <c r="D2997" s="1214"/>
      <c r="E2997" s="194">
        <f>(24+37.25)/2</f>
        <v>30.625</v>
      </c>
      <c r="F2997" s="127" t="s">
        <v>108</v>
      </c>
      <c r="G2997" s="117">
        <f>120*2</f>
        <v>240</v>
      </c>
      <c r="H2997" s="554" t="s">
        <v>275</v>
      </c>
      <c r="I2997" s="141">
        <f>+E2997*G2997/H2993</f>
        <v>0.4655815190914363</v>
      </c>
      <c r="J2997" s="186">
        <v>1.22</v>
      </c>
      <c r="K2997" s="7">
        <f>+I2997*J2997</f>
        <v>0.56800945329155228</v>
      </c>
      <c r="L2997" s="186" t="s">
        <v>108</v>
      </c>
      <c r="M2997" s="50"/>
      <c r="N2997" s="50"/>
      <c r="O2997" s="5"/>
      <c r="P2997" s="9"/>
      <c r="Q2997" s="34"/>
      <c r="R2997" s="5"/>
      <c r="S2997" s="35"/>
    </row>
    <row r="2998" spans="1:19" ht="30" customHeight="1" x14ac:dyDescent="0.35">
      <c r="A2998" s="186" t="s">
        <v>268</v>
      </c>
      <c r="B2998" s="1212" t="s">
        <v>2502</v>
      </c>
      <c r="C2998" s="1213"/>
      <c r="D2998" s="1214"/>
      <c r="E2998" s="194">
        <f>(2020+2850)/2</f>
        <v>2435</v>
      </c>
      <c r="F2998" s="127" t="s">
        <v>40</v>
      </c>
      <c r="G2998" s="117"/>
      <c r="H2998" s="554"/>
      <c r="I2998" s="141">
        <f>2*E2998/H2993</f>
        <v>0.30848734666330541</v>
      </c>
      <c r="J2998" s="186">
        <v>1.22</v>
      </c>
      <c r="K2998" s="7">
        <f>+I2998*J2998</f>
        <v>0.37635456292923258</v>
      </c>
      <c r="L2998" s="186" t="s">
        <v>108</v>
      </c>
      <c r="M2998" s="50"/>
      <c r="N2998" s="50"/>
      <c r="O2998" s="5"/>
      <c r="P2998" s="9"/>
      <c r="Q2998" s="34"/>
      <c r="R2998" s="5"/>
      <c r="S2998" s="35"/>
    </row>
    <row r="2999" spans="1:19" ht="30" customHeight="1" x14ac:dyDescent="0.35">
      <c r="A2999" s="186" t="s">
        <v>271</v>
      </c>
      <c r="B2999" s="1212" t="s">
        <v>2486</v>
      </c>
      <c r="C2999" s="1213"/>
      <c r="D2999" s="1214"/>
      <c r="E2999" s="194">
        <v>72.38</v>
      </c>
      <c r="F2999" s="127" t="s">
        <v>28</v>
      </c>
      <c r="G2999" s="117">
        <v>20</v>
      </c>
      <c r="H2999" s="554" t="s">
        <v>965</v>
      </c>
      <c r="I2999" s="141">
        <f>+E2999*G2999/H2993</f>
        <v>9.1697388712484784E-2</v>
      </c>
      <c r="J2999" s="186">
        <v>1.1200000000000001</v>
      </c>
      <c r="K2999" s="7">
        <f>+I2999*J2999</f>
        <v>0.10270107535798297</v>
      </c>
      <c r="L2999" s="186" t="s">
        <v>108</v>
      </c>
      <c r="M2999" s="50"/>
      <c r="N2999" s="50"/>
      <c r="O2999" s="5"/>
      <c r="P2999" s="9"/>
      <c r="Q2999" s="34"/>
      <c r="R2999" s="5"/>
      <c r="S2999" s="35"/>
    </row>
    <row r="3000" spans="1:19" ht="30" customHeight="1" x14ac:dyDescent="0.35">
      <c r="A3000" s="985"/>
      <c r="B3000" s="1211"/>
      <c r="C3000" s="1211"/>
      <c r="D3000" s="1211"/>
      <c r="E3000" s="194"/>
      <c r="F3000" s="186"/>
      <c r="G3000" s="186"/>
      <c r="H3000" s="186"/>
      <c r="I3000" s="186"/>
      <c r="J3000" s="186" t="s">
        <v>223</v>
      </c>
      <c r="K3000" s="194">
        <f>SUM(K2995:K2999)</f>
        <v>286.13186509157873</v>
      </c>
      <c r="L3000" s="186" t="s">
        <v>108</v>
      </c>
      <c r="M3000" s="50"/>
      <c r="N3000" s="50"/>
    </row>
    <row r="3001" spans="1:19" ht="30" customHeight="1" x14ac:dyDescent="0.35">
      <c r="A3001" s="186"/>
      <c r="B3001" s="567"/>
      <c r="C3001" s="567"/>
      <c r="D3001" s="567"/>
      <c r="E3001" s="194"/>
      <c r="F3001" s="1215" t="s">
        <v>195</v>
      </c>
      <c r="G3001" s="1273" t="s">
        <v>196</v>
      </c>
      <c r="H3001" s="1273"/>
      <c r="I3001" s="1273"/>
      <c r="J3001" s="1273"/>
      <c r="K3001" s="196">
        <v>1.06</v>
      </c>
      <c r="L3001" s="186"/>
      <c r="M3001" s="100"/>
      <c r="N3001" s="50"/>
      <c r="O3001" s="5"/>
      <c r="P3001" s="9"/>
      <c r="Q3001" s="34"/>
      <c r="R3001" s="5"/>
      <c r="S3001" s="35"/>
    </row>
    <row r="3002" spans="1:19" ht="30" customHeight="1" x14ac:dyDescent="0.35">
      <c r="A3002" s="186"/>
      <c r="B3002" s="567"/>
      <c r="C3002" s="567"/>
      <c r="D3002" s="567"/>
      <c r="E3002" s="194"/>
      <c r="F3002" s="1216"/>
      <c r="G3002" s="1268" t="s">
        <v>2477</v>
      </c>
      <c r="H3002" s="1268"/>
      <c r="I3002" s="1268"/>
      <c r="J3002" s="1268"/>
      <c r="K3002" s="196">
        <v>1.05</v>
      </c>
      <c r="L3002" s="186"/>
      <c r="M3002" s="50"/>
      <c r="N3002" s="50"/>
      <c r="O3002" s="5"/>
      <c r="P3002" s="9"/>
      <c r="Q3002" s="34"/>
      <c r="R3002" s="5"/>
      <c r="S3002" s="35"/>
    </row>
    <row r="3003" spans="1:19" ht="30" customHeight="1" x14ac:dyDescent="0.35">
      <c r="A3003" s="186"/>
      <c r="B3003" s="186"/>
      <c r="C3003" s="503"/>
      <c r="D3003" s="503"/>
      <c r="E3003" s="503"/>
      <c r="F3003" s="503"/>
      <c r="G3003" s="503"/>
      <c r="H3003" s="503"/>
      <c r="I3003" s="503"/>
      <c r="J3003" s="503" t="s">
        <v>37</v>
      </c>
      <c r="K3003" s="193">
        <f>+K3000*K3001/K3002</f>
        <v>288.85693047340328</v>
      </c>
      <c r="L3003" s="186" t="s">
        <v>108</v>
      </c>
      <c r="M3003" s="50"/>
      <c r="N3003" s="50"/>
      <c r="O3003" s="5"/>
      <c r="P3003" s="9"/>
      <c r="Q3003" s="34"/>
      <c r="R3003" s="5"/>
      <c r="S3003" s="35"/>
    </row>
    <row r="3004" spans="1:19" ht="30" customHeight="1" x14ac:dyDescent="0.35">
      <c r="A3004" s="186"/>
      <c r="B3004" s="186"/>
      <c r="C3004" s="503"/>
      <c r="D3004" s="503"/>
      <c r="E3004" s="503"/>
      <c r="F3004" s="503"/>
      <c r="G3004" s="503"/>
      <c r="H3004" s="278"/>
      <c r="I3004" s="538" t="s">
        <v>257</v>
      </c>
      <c r="J3004" s="560">
        <f>VLOOKUP(B2993,'Mil Cost Premiums for PUCs'!$A$4:$R$285,18,FALSE)</f>
        <v>1.3319480854780448</v>
      </c>
      <c r="K3004" s="193">
        <f>+K3003*J3004</f>
        <v>384.7424355211142</v>
      </c>
      <c r="L3004" s="186" t="s">
        <v>108</v>
      </c>
      <c r="M3004" s="50"/>
      <c r="N3004" s="50"/>
      <c r="O3004" s="5"/>
      <c r="P3004" s="9"/>
      <c r="Q3004" s="34"/>
      <c r="R3004" s="5"/>
      <c r="S3004" s="35"/>
    </row>
    <row r="3005" spans="1:19" ht="30" customHeight="1" thickBot="1" x14ac:dyDescent="0.4">
      <c r="A3005" s="186"/>
      <c r="B3005" s="186"/>
      <c r="C3005" s="503"/>
      <c r="D3005" s="503"/>
      <c r="E3005" s="503"/>
      <c r="F3005" s="503"/>
      <c r="G3005" s="503"/>
      <c r="I3005" s="538" t="s">
        <v>3000</v>
      </c>
      <c r="J3005" s="560">
        <v>1.0438745311870361</v>
      </c>
      <c r="K3005" s="193">
        <f>+K3004*J3005</f>
        <v>401.62282950736153</v>
      </c>
      <c r="L3005" s="186" t="s">
        <v>108</v>
      </c>
      <c r="M3005" s="50"/>
      <c r="N3005" s="50"/>
      <c r="O3005" s="5"/>
      <c r="P3005" s="9"/>
      <c r="Q3005" s="34"/>
      <c r="R3005" s="5"/>
      <c r="S3005" s="35"/>
    </row>
    <row r="3006" spans="1:19" ht="30" customHeight="1" thickBot="1" x14ac:dyDescent="0.4">
      <c r="A3006" s="1429"/>
      <c r="B3006" s="1430"/>
      <c r="C3006" s="1430"/>
      <c r="D3006" s="1430"/>
      <c r="E3006" s="1430"/>
      <c r="F3006" s="1430"/>
      <c r="G3006" s="1430"/>
      <c r="H3006" s="1430"/>
      <c r="I3006" s="1430"/>
      <c r="J3006" s="1430"/>
      <c r="K3006" s="1430"/>
      <c r="L3006" s="1431"/>
      <c r="M3006" s="50"/>
      <c r="N3006" s="50"/>
      <c r="O3006" s="5"/>
      <c r="P3006" s="9"/>
      <c r="Q3006" s="34"/>
      <c r="R3006" s="5"/>
      <c r="S3006" s="35"/>
    </row>
    <row r="3007" spans="1:19" ht="30" customHeight="1" x14ac:dyDescent="0.35">
      <c r="A3007" s="455" t="s">
        <v>1</v>
      </c>
      <c r="B3007" s="439">
        <v>7313</v>
      </c>
      <c r="C3007" s="1571" t="s">
        <v>1328</v>
      </c>
      <c r="D3007" s="1572"/>
      <c r="E3007" s="456" t="s">
        <v>3</v>
      </c>
      <c r="F3007" s="457" t="s">
        <v>108</v>
      </c>
      <c r="G3007" s="468" t="s">
        <v>38</v>
      </c>
      <c r="H3007" s="779">
        <v>7270.6789485458603</v>
      </c>
      <c r="I3007" s="456" t="s">
        <v>5</v>
      </c>
      <c r="J3007" s="1411" t="s">
        <v>2481</v>
      </c>
      <c r="K3007" s="1411"/>
      <c r="L3007" s="1412"/>
      <c r="M3007" s="50"/>
      <c r="N3007" s="50"/>
      <c r="O3007" s="5"/>
      <c r="P3007" s="9"/>
      <c r="Q3007" s="34"/>
      <c r="R3007" s="5"/>
      <c r="S3007" s="35"/>
    </row>
    <row r="3008" spans="1:19" ht="30" customHeight="1" x14ac:dyDescent="0.35">
      <c r="A3008" s="494" t="s">
        <v>187</v>
      </c>
      <c r="B3008" s="1280" t="s">
        <v>211</v>
      </c>
      <c r="C3008" s="1281"/>
      <c r="D3008" s="1282"/>
      <c r="E3008" s="566" t="s">
        <v>52</v>
      </c>
      <c r="F3008" s="566" t="s">
        <v>53</v>
      </c>
      <c r="G3008" s="1219" t="s">
        <v>54</v>
      </c>
      <c r="H3008" s="1220"/>
      <c r="I3008" s="185" t="s">
        <v>1051</v>
      </c>
      <c r="J3008" s="185" t="s">
        <v>188</v>
      </c>
      <c r="K3008" s="1209" t="s">
        <v>180</v>
      </c>
      <c r="L3008" s="1210"/>
      <c r="M3008" s="50"/>
      <c r="N3008" s="50"/>
      <c r="O3008" s="5"/>
      <c r="P3008" s="9"/>
      <c r="Q3008" s="34"/>
      <c r="R3008" s="5"/>
      <c r="S3008" s="35"/>
    </row>
    <row r="3009" spans="1:19" ht="30" customHeight="1" x14ac:dyDescent="0.35">
      <c r="A3009" s="790" t="s">
        <v>283</v>
      </c>
      <c r="B3009" s="1202" t="s">
        <v>1329</v>
      </c>
      <c r="C3009" s="1203"/>
      <c r="D3009" s="1204"/>
      <c r="E3009" s="194">
        <v>178</v>
      </c>
      <c r="F3009" s="422" t="s">
        <v>108</v>
      </c>
      <c r="G3009" s="707"/>
      <c r="H3009" s="708"/>
      <c r="I3009" s="278"/>
      <c r="J3009" s="186">
        <v>1.1200000000000001</v>
      </c>
      <c r="K3009" s="194">
        <f>+E3009*J3009</f>
        <v>199.36</v>
      </c>
      <c r="L3009" s="186" t="s">
        <v>108</v>
      </c>
      <c r="M3009" s="50"/>
      <c r="O3009" s="5"/>
      <c r="P3009" s="9"/>
      <c r="Q3009" s="34"/>
      <c r="R3009" s="5"/>
      <c r="S3009" s="35"/>
    </row>
    <row r="3010" spans="1:19" ht="30" customHeight="1" x14ac:dyDescent="0.35">
      <c r="A3010" s="1016" t="s">
        <v>285</v>
      </c>
      <c r="B3010" s="1211" t="s">
        <v>940</v>
      </c>
      <c r="C3010" s="1211"/>
      <c r="D3010" s="1211"/>
      <c r="E3010" s="194">
        <v>5.47</v>
      </c>
      <c r="F3010" s="186" t="s">
        <v>108</v>
      </c>
      <c r="G3010" s="186"/>
      <c r="H3010" s="186"/>
      <c r="I3010" s="278"/>
      <c r="J3010" s="186">
        <v>1.1200000000000001</v>
      </c>
      <c r="K3010" s="194">
        <f>+E3010*J3010</f>
        <v>6.1264000000000003</v>
      </c>
      <c r="L3010" s="186" t="s">
        <v>108</v>
      </c>
      <c r="M3010" s="50"/>
      <c r="N3010" s="50"/>
      <c r="O3010" s="5"/>
      <c r="P3010" s="9"/>
      <c r="Q3010" s="34"/>
      <c r="R3010" s="5"/>
      <c r="S3010" s="35"/>
    </row>
    <row r="3011" spans="1:19" ht="30" customHeight="1" x14ac:dyDescent="0.35">
      <c r="A3011" s="985"/>
      <c r="B3011" s="1211"/>
      <c r="C3011" s="1211"/>
      <c r="D3011" s="1211"/>
      <c r="E3011" s="194"/>
      <c r="F3011" s="186"/>
      <c r="G3011" s="186"/>
      <c r="H3011" s="186"/>
      <c r="I3011" s="186"/>
      <c r="J3011" s="186" t="s">
        <v>223</v>
      </c>
      <c r="K3011" s="194">
        <f>SUM(K3009:K3010)</f>
        <v>205.4864</v>
      </c>
      <c r="L3011" s="186" t="s">
        <v>108</v>
      </c>
      <c r="M3011" s="50"/>
      <c r="N3011" s="50"/>
      <c r="O3011" s="5"/>
      <c r="P3011" s="9"/>
      <c r="Q3011" s="34"/>
      <c r="R3011" s="5"/>
      <c r="S3011" s="35"/>
    </row>
    <row r="3012" spans="1:19" ht="30" customHeight="1" x14ac:dyDescent="0.35">
      <c r="A3012" s="186"/>
      <c r="B3012" s="567"/>
      <c r="C3012" s="567"/>
      <c r="D3012" s="567"/>
      <c r="E3012" s="194"/>
      <c r="F3012" s="1215" t="s">
        <v>195</v>
      </c>
      <c r="G3012" s="1273" t="s">
        <v>196</v>
      </c>
      <c r="H3012" s="1273"/>
      <c r="I3012" s="1273"/>
      <c r="J3012" s="1273"/>
      <c r="K3012" s="196">
        <v>1.06</v>
      </c>
      <c r="L3012" s="186"/>
      <c r="M3012" s="50"/>
      <c r="N3012" s="50"/>
      <c r="O3012" s="5"/>
      <c r="P3012" s="9"/>
      <c r="Q3012" s="34"/>
      <c r="R3012" s="5"/>
      <c r="S3012" s="35"/>
    </row>
    <row r="3013" spans="1:19" ht="30" customHeight="1" x14ac:dyDescent="0.35">
      <c r="A3013" s="186"/>
      <c r="B3013" s="567"/>
      <c r="C3013" s="567"/>
      <c r="D3013" s="567"/>
      <c r="E3013" s="194"/>
      <c r="F3013" s="1216"/>
      <c r="G3013" s="1268" t="s">
        <v>2477</v>
      </c>
      <c r="H3013" s="1268"/>
      <c r="I3013" s="1268"/>
      <c r="J3013" s="1268"/>
      <c r="K3013" s="196">
        <v>1.05</v>
      </c>
      <c r="L3013" s="186"/>
      <c r="M3013" s="50"/>
      <c r="N3013" s="50"/>
      <c r="O3013" s="5"/>
      <c r="P3013" s="9"/>
      <c r="Q3013" s="34"/>
      <c r="R3013" s="5"/>
      <c r="S3013" s="35"/>
    </row>
    <row r="3014" spans="1:19" ht="30" customHeight="1" x14ac:dyDescent="0.35">
      <c r="A3014" s="186"/>
      <c r="B3014" s="186"/>
      <c r="C3014" s="503"/>
      <c r="D3014" s="503"/>
      <c r="E3014" s="503"/>
      <c r="F3014" s="503"/>
      <c r="G3014" s="503"/>
      <c r="H3014" s="503"/>
      <c r="I3014" s="503"/>
      <c r="J3014" s="503" t="s">
        <v>37</v>
      </c>
      <c r="K3014" s="193">
        <f>+K3011*K3012/K3013</f>
        <v>207.44341333333332</v>
      </c>
      <c r="L3014" s="186" t="s">
        <v>108</v>
      </c>
      <c r="M3014" s="50"/>
      <c r="N3014" s="50"/>
      <c r="O3014" s="5"/>
      <c r="P3014" s="9"/>
      <c r="Q3014" s="34"/>
      <c r="R3014" s="5"/>
      <c r="S3014" s="35"/>
    </row>
    <row r="3015" spans="1:19" ht="30" customHeight="1" x14ac:dyDescent="0.35">
      <c r="A3015" s="186"/>
      <c r="B3015" s="186"/>
      <c r="C3015" s="503"/>
      <c r="D3015" s="503"/>
      <c r="E3015" s="503"/>
      <c r="F3015" s="503"/>
      <c r="G3015" s="278"/>
      <c r="H3015" s="503"/>
      <c r="I3015" s="538" t="s">
        <v>257</v>
      </c>
      <c r="J3015" s="560">
        <f>VLOOKUP(B3007,'Mil Cost Premiums for PUCs'!$A$4:$R$285,18,FALSE)</f>
        <v>1.3319480854780448</v>
      </c>
      <c r="K3015" s="193">
        <f>+K3014*J3015</f>
        <v>276.30385723436405</v>
      </c>
      <c r="L3015" s="186" t="s">
        <v>108</v>
      </c>
      <c r="M3015" s="50"/>
      <c r="N3015" s="50"/>
      <c r="O3015" s="1023"/>
      <c r="P3015" s="466"/>
      <c r="Q3015" s="396"/>
      <c r="R3015" s="5"/>
      <c r="S3015" s="35"/>
    </row>
    <row r="3016" spans="1:19" ht="30" customHeight="1" thickBot="1" x14ac:dyDescent="0.4">
      <c r="A3016" s="186"/>
      <c r="B3016" s="186"/>
      <c r="C3016" s="503"/>
      <c r="D3016" s="503"/>
      <c r="E3016" s="503"/>
      <c r="F3016" s="503"/>
      <c r="H3016" s="503"/>
      <c r="I3016" s="538" t="s">
        <v>3000</v>
      </c>
      <c r="J3016" s="560">
        <v>1.0438745311870361</v>
      </c>
      <c r="K3016" s="193">
        <f>+K3015*J3016</f>
        <v>288.4265594356915</v>
      </c>
      <c r="L3016" s="186" t="s">
        <v>108</v>
      </c>
      <c r="M3016" s="50"/>
      <c r="N3016" s="50"/>
      <c r="O3016" s="5"/>
      <c r="P3016" s="9"/>
      <c r="Q3016" s="34"/>
      <c r="R3016" s="5"/>
      <c r="S3016" s="35"/>
    </row>
    <row r="3017" spans="1:19" ht="30" customHeight="1" thickBot="1" x14ac:dyDescent="0.4">
      <c r="A3017" s="1429"/>
      <c r="B3017" s="1430"/>
      <c r="C3017" s="1430"/>
      <c r="D3017" s="1430"/>
      <c r="E3017" s="1430"/>
      <c r="F3017" s="1430"/>
      <c r="G3017" s="1430"/>
      <c r="H3017" s="1430"/>
      <c r="I3017" s="1430"/>
      <c r="J3017" s="1430"/>
      <c r="K3017" s="1430"/>
      <c r="L3017" s="1431"/>
      <c r="M3017" s="50"/>
      <c r="N3017" s="50"/>
      <c r="O3017" s="5"/>
      <c r="P3017" s="9"/>
      <c r="Q3017" s="34"/>
      <c r="R3017" s="5"/>
      <c r="S3017" s="35"/>
    </row>
    <row r="3018" spans="1:19" ht="30" customHeight="1" x14ac:dyDescent="0.35">
      <c r="A3018" s="455" t="s">
        <v>1</v>
      </c>
      <c r="B3018" s="439">
        <v>7314</v>
      </c>
      <c r="C3018" s="1384" t="s">
        <v>1330</v>
      </c>
      <c r="D3018" s="1385"/>
      <c r="E3018" s="456" t="s">
        <v>3</v>
      </c>
      <c r="F3018" s="457" t="s">
        <v>108</v>
      </c>
      <c r="G3018" s="468" t="s">
        <v>38</v>
      </c>
      <c r="H3018" s="47">
        <v>5579</v>
      </c>
      <c r="I3018" s="456" t="s">
        <v>5</v>
      </c>
      <c r="J3018" s="1411" t="s">
        <v>2874</v>
      </c>
      <c r="K3018" s="1411"/>
      <c r="L3018" s="1412"/>
      <c r="M3018" s="50"/>
      <c r="N3018" s="50"/>
      <c r="O3018" s="5"/>
      <c r="P3018" s="9"/>
      <c r="Q3018" s="34"/>
      <c r="R3018" s="5"/>
      <c r="S3018" s="35"/>
    </row>
    <row r="3019" spans="1:19" ht="30" customHeight="1" x14ac:dyDescent="0.35">
      <c r="A3019" s="494" t="s">
        <v>187</v>
      </c>
      <c r="B3019" s="1280" t="s">
        <v>211</v>
      </c>
      <c r="C3019" s="1281"/>
      <c r="D3019" s="1282"/>
      <c r="E3019" s="566" t="s">
        <v>52</v>
      </c>
      <c r="F3019" s="566" t="s">
        <v>53</v>
      </c>
      <c r="G3019" s="1219" t="s">
        <v>54</v>
      </c>
      <c r="H3019" s="1220"/>
      <c r="I3019" s="185" t="s">
        <v>188</v>
      </c>
      <c r="J3019" s="185"/>
      <c r="K3019" s="1209" t="s">
        <v>180</v>
      </c>
      <c r="L3019" s="1210"/>
      <c r="M3019" s="50"/>
      <c r="N3019" s="50"/>
      <c r="O3019" s="5"/>
      <c r="P3019" s="9"/>
      <c r="Q3019" s="34"/>
      <c r="R3019" s="5"/>
      <c r="S3019" s="35"/>
    </row>
    <row r="3020" spans="1:19" ht="30" customHeight="1" x14ac:dyDescent="0.35">
      <c r="A3020" s="790" t="s">
        <v>1331</v>
      </c>
      <c r="B3020" s="1211" t="s">
        <v>1332</v>
      </c>
      <c r="C3020" s="1211"/>
      <c r="D3020" s="1211"/>
      <c r="E3020" s="194">
        <v>181</v>
      </c>
      <c r="F3020" s="186" t="s">
        <v>108</v>
      </c>
      <c r="G3020" s="186"/>
      <c r="H3020" s="186"/>
      <c r="I3020" s="186">
        <v>1.0900000000000001</v>
      </c>
      <c r="J3020" s="186"/>
      <c r="K3020" s="194">
        <f>+E3020*I3020</f>
        <v>197.29000000000002</v>
      </c>
      <c r="L3020" s="186" t="s">
        <v>108</v>
      </c>
      <c r="M3020" s="50"/>
      <c r="N3020" s="50"/>
      <c r="O3020" s="5"/>
      <c r="P3020" s="9"/>
      <c r="Q3020" s="34"/>
      <c r="R3020" s="5"/>
      <c r="S3020" s="35"/>
    </row>
    <row r="3021" spans="1:19" ht="30" customHeight="1" x14ac:dyDescent="0.35">
      <c r="A3021" s="1016" t="s">
        <v>285</v>
      </c>
      <c r="B3021" s="1211" t="s">
        <v>940</v>
      </c>
      <c r="C3021" s="1211"/>
      <c r="D3021" s="1211"/>
      <c r="E3021" s="194">
        <v>5.47</v>
      </c>
      <c r="F3021" s="186" t="s">
        <v>108</v>
      </c>
      <c r="G3021" s="186"/>
      <c r="H3021" s="186"/>
      <c r="I3021" s="186">
        <v>1.0900000000000001</v>
      </c>
      <c r="J3021" s="186"/>
      <c r="K3021" s="194">
        <f>+E3021*I3021</f>
        <v>5.9622999999999999</v>
      </c>
      <c r="L3021" s="186" t="s">
        <v>108</v>
      </c>
      <c r="M3021" s="50"/>
      <c r="N3021" s="50"/>
      <c r="O3021" s="5"/>
      <c r="P3021" s="9"/>
      <c r="Q3021" s="34"/>
      <c r="R3021" s="5"/>
      <c r="S3021" s="35"/>
    </row>
    <row r="3022" spans="1:19" ht="30" customHeight="1" x14ac:dyDescent="0.35">
      <c r="A3022" s="985"/>
      <c r="B3022" s="1211"/>
      <c r="C3022" s="1211"/>
      <c r="D3022" s="1211"/>
      <c r="E3022" s="194"/>
      <c r="F3022" s="186"/>
      <c r="G3022" s="186"/>
      <c r="H3022" s="186"/>
      <c r="I3022" s="186"/>
      <c r="J3022" s="186" t="s">
        <v>223</v>
      </c>
      <c r="K3022" s="194">
        <f>SUM(K3020:K3021)</f>
        <v>203.25230000000002</v>
      </c>
      <c r="L3022" s="186" t="s">
        <v>108</v>
      </c>
      <c r="M3022" s="50"/>
      <c r="N3022" s="50"/>
      <c r="O3022" s="5"/>
      <c r="P3022" s="9"/>
      <c r="Q3022" s="34"/>
      <c r="R3022" s="5"/>
      <c r="S3022" s="35"/>
    </row>
    <row r="3023" spans="1:19" ht="30" customHeight="1" x14ac:dyDescent="0.35">
      <c r="A3023" s="186"/>
      <c r="B3023" s="567"/>
      <c r="C3023" s="567"/>
      <c r="D3023" s="567"/>
      <c r="E3023" s="194"/>
      <c r="F3023" s="1215" t="s">
        <v>195</v>
      </c>
      <c r="G3023" s="1273" t="s">
        <v>196</v>
      </c>
      <c r="H3023" s="1273"/>
      <c r="I3023" s="1273"/>
      <c r="J3023" s="1273"/>
      <c r="K3023" s="196">
        <v>1.05</v>
      </c>
      <c r="L3023" s="186"/>
      <c r="M3023" s="50"/>
      <c r="O3023" s="5"/>
      <c r="P3023" s="9"/>
      <c r="Q3023" s="34"/>
      <c r="R3023" s="5"/>
      <c r="S3023" s="35"/>
    </row>
    <row r="3024" spans="1:19" ht="30" customHeight="1" x14ac:dyDescent="0.35">
      <c r="A3024" s="186"/>
      <c r="B3024" s="567"/>
      <c r="C3024" s="567"/>
      <c r="D3024" s="567"/>
      <c r="E3024" s="194"/>
      <c r="F3024" s="1216"/>
      <c r="G3024" s="1268" t="s">
        <v>2875</v>
      </c>
      <c r="H3024" s="1268"/>
      <c r="I3024" s="1268"/>
      <c r="J3024" s="1268"/>
      <c r="K3024" s="196">
        <v>1.07</v>
      </c>
      <c r="L3024" s="186"/>
      <c r="M3024" s="50"/>
      <c r="N3024" s="50"/>
      <c r="O3024" s="5"/>
      <c r="P3024" s="9"/>
      <c r="Q3024" s="34"/>
      <c r="R3024" s="5"/>
      <c r="S3024" s="35"/>
    </row>
    <row r="3025" spans="1:19" ht="30" customHeight="1" x14ac:dyDescent="0.35">
      <c r="A3025" s="186"/>
      <c r="B3025" s="186"/>
      <c r="C3025" s="503"/>
      <c r="D3025" s="503"/>
      <c r="E3025" s="503"/>
      <c r="F3025" s="503"/>
      <c r="G3025" s="503"/>
      <c r="H3025" s="503"/>
      <c r="I3025" s="503"/>
      <c r="J3025" s="503" t="s">
        <v>37</v>
      </c>
      <c r="K3025" s="193">
        <f>+K3022*K3023/K3024</f>
        <v>199.45319158878507</v>
      </c>
      <c r="L3025" s="186" t="s">
        <v>108</v>
      </c>
      <c r="M3025" s="50"/>
      <c r="N3025" s="50"/>
      <c r="O3025" s="5"/>
      <c r="P3025" s="9"/>
      <c r="Q3025" s="34"/>
      <c r="R3025" s="5"/>
      <c r="S3025" s="35"/>
    </row>
    <row r="3026" spans="1:19" ht="30" customHeight="1" thickBot="1" x14ac:dyDescent="0.4">
      <c r="A3026" s="186"/>
      <c r="B3026" s="186"/>
      <c r="C3026" s="503"/>
      <c r="D3026" s="503"/>
      <c r="E3026" s="503"/>
      <c r="F3026" s="503"/>
      <c r="G3026" s="1194" t="s">
        <v>257</v>
      </c>
      <c r="H3026" s="1195"/>
      <c r="I3026" s="1196"/>
      <c r="J3026" s="560">
        <f>VLOOKUP(B3018,'Mil Cost Premiums for PUCs'!$A$4:$R$285,18,FALSE)</f>
        <v>1.3319480854780448</v>
      </c>
      <c r="K3026" s="193">
        <f>+K3025*J3026</f>
        <v>265.66129667916795</v>
      </c>
      <c r="L3026" s="186" t="s">
        <v>108</v>
      </c>
      <c r="M3026" s="50"/>
      <c r="N3026" s="50"/>
      <c r="O3026" s="5"/>
      <c r="P3026" s="9"/>
      <c r="Q3026" s="34"/>
      <c r="R3026" s="5"/>
      <c r="S3026" s="35"/>
    </row>
    <row r="3027" spans="1:19" ht="30" customHeight="1" thickBot="1" x14ac:dyDescent="0.4">
      <c r="A3027" s="1429"/>
      <c r="B3027" s="1430"/>
      <c r="C3027" s="1430"/>
      <c r="D3027" s="1430"/>
      <c r="E3027" s="1430"/>
      <c r="F3027" s="1430"/>
      <c r="G3027" s="1430"/>
      <c r="H3027" s="1430"/>
      <c r="I3027" s="1430"/>
      <c r="J3027" s="1430"/>
      <c r="K3027" s="1430"/>
      <c r="L3027" s="1431"/>
      <c r="N3027" s="50"/>
      <c r="O3027" s="5"/>
      <c r="P3027" s="9"/>
      <c r="Q3027" s="34"/>
      <c r="R3027" s="5"/>
      <c r="S3027" s="35"/>
    </row>
    <row r="3028" spans="1:19" ht="30" customHeight="1" x14ac:dyDescent="0.35">
      <c r="A3028" s="455" t="s">
        <v>1</v>
      </c>
      <c r="B3028" s="439">
        <v>7321</v>
      </c>
      <c r="C3028" s="1384" t="s">
        <v>1333</v>
      </c>
      <c r="D3028" s="1385"/>
      <c r="E3028" s="456" t="s">
        <v>3</v>
      </c>
      <c r="F3028" s="457" t="s">
        <v>108</v>
      </c>
      <c r="G3028" s="468" t="s">
        <v>38</v>
      </c>
      <c r="H3028" s="47">
        <v>35640</v>
      </c>
      <c r="I3028" s="456" t="s">
        <v>5</v>
      </c>
      <c r="J3028" s="1411" t="s">
        <v>2874</v>
      </c>
      <c r="K3028" s="1411"/>
      <c r="L3028" s="1412"/>
      <c r="M3028" s="50"/>
      <c r="N3028" s="50"/>
      <c r="O3028" s="5"/>
      <c r="P3028" s="9"/>
      <c r="Q3028" s="34"/>
      <c r="R3028" s="5"/>
      <c r="S3028" s="35"/>
    </row>
    <row r="3029" spans="1:19" ht="30" customHeight="1" x14ac:dyDescent="0.35">
      <c r="A3029" s="494" t="s">
        <v>187</v>
      </c>
      <c r="B3029" s="1280" t="s">
        <v>211</v>
      </c>
      <c r="C3029" s="1281"/>
      <c r="D3029" s="1282"/>
      <c r="E3029" s="566" t="s">
        <v>52</v>
      </c>
      <c r="F3029" s="566" t="s">
        <v>53</v>
      </c>
      <c r="G3029" s="1219" t="s">
        <v>54</v>
      </c>
      <c r="H3029" s="1220"/>
      <c r="I3029" s="185" t="s">
        <v>188</v>
      </c>
      <c r="J3029" s="185" t="s">
        <v>179</v>
      </c>
      <c r="K3029" s="1209" t="s">
        <v>180</v>
      </c>
      <c r="L3029" s="1210"/>
      <c r="M3029" s="50"/>
      <c r="N3029" s="50"/>
      <c r="O3029" s="5"/>
      <c r="P3029" s="9"/>
      <c r="Q3029" s="34"/>
      <c r="R3029" s="5"/>
      <c r="S3029" s="35"/>
    </row>
    <row r="3030" spans="1:19" ht="30" customHeight="1" x14ac:dyDescent="0.35">
      <c r="A3030" s="790" t="s">
        <v>1334</v>
      </c>
      <c r="B3030" s="1212" t="s">
        <v>1335</v>
      </c>
      <c r="C3030" s="1213"/>
      <c r="D3030" s="1214"/>
      <c r="E3030" s="194">
        <f>(64.5+103)/2</f>
        <v>83.75</v>
      </c>
      <c r="F3030" s="422" t="s">
        <v>108</v>
      </c>
      <c r="G3030" s="707"/>
      <c r="H3030" s="708"/>
      <c r="I3030" s="186">
        <v>1.0900000000000001</v>
      </c>
      <c r="J3030" s="1022">
        <f>+'FY2024 MILCON Inflation Table'!$F$14</f>
        <v>1.4139446884504483</v>
      </c>
      <c r="K3030" s="194">
        <f>+E3030*I3030*J3030</f>
        <v>129.07547574692032</v>
      </c>
      <c r="L3030" s="186" t="s">
        <v>108</v>
      </c>
      <c r="M3030" s="50"/>
      <c r="N3030" s="50"/>
      <c r="O3030" s="5"/>
      <c r="P3030" s="9"/>
      <c r="Q3030" s="34"/>
      <c r="R3030" s="5"/>
      <c r="S3030" s="35"/>
    </row>
    <row r="3031" spans="1:19" ht="30" customHeight="1" x14ac:dyDescent="0.35">
      <c r="A3031" s="1016" t="s">
        <v>249</v>
      </c>
      <c r="B3031" s="1212" t="s">
        <v>1336</v>
      </c>
      <c r="C3031" s="1213"/>
      <c r="D3031" s="1213"/>
      <c r="E3031" s="194">
        <v>3.27</v>
      </c>
      <c r="F3031" s="422" t="s">
        <v>108</v>
      </c>
      <c r="G3031" s="707"/>
      <c r="H3031" s="708"/>
      <c r="I3031" s="186">
        <v>1.0900000000000001</v>
      </c>
      <c r="J3031" s="186"/>
      <c r="K3031" s="194">
        <f>+E3031*I3031</f>
        <v>3.5643000000000002</v>
      </c>
      <c r="L3031" s="186" t="s">
        <v>108</v>
      </c>
      <c r="M3031" s="50"/>
      <c r="N3031" s="50"/>
      <c r="O3031" s="5"/>
      <c r="P3031" s="9"/>
      <c r="Q3031" s="34"/>
      <c r="R3031" s="5"/>
      <c r="S3031" s="35"/>
    </row>
    <row r="3032" spans="1:19" ht="30" customHeight="1" x14ac:dyDescent="0.35">
      <c r="A3032" s="985"/>
      <c r="B3032" s="1211"/>
      <c r="C3032" s="1211"/>
      <c r="D3032" s="1211"/>
      <c r="E3032" s="194"/>
      <c r="F3032" s="186"/>
      <c r="G3032" s="186"/>
      <c r="H3032" s="186"/>
      <c r="I3032" s="186"/>
      <c r="J3032" s="186" t="s">
        <v>223</v>
      </c>
      <c r="K3032" s="194">
        <f>SUM(K3030:K3031)</f>
        <v>132.63977574692032</v>
      </c>
      <c r="L3032" s="186" t="s">
        <v>108</v>
      </c>
      <c r="M3032" s="50"/>
      <c r="N3032" s="50"/>
      <c r="O3032" s="5"/>
      <c r="P3032" s="9"/>
      <c r="Q3032" s="34"/>
      <c r="R3032" s="5"/>
      <c r="S3032" s="35"/>
    </row>
    <row r="3033" spans="1:19" ht="30" customHeight="1" x14ac:dyDescent="0.35">
      <c r="A3033" s="186"/>
      <c r="B3033" s="567"/>
      <c r="C3033" s="567"/>
      <c r="D3033" s="567"/>
      <c r="E3033" s="194"/>
      <c r="F3033" s="1215" t="s">
        <v>195</v>
      </c>
      <c r="G3033" s="1273" t="s">
        <v>196</v>
      </c>
      <c r="H3033" s="1273"/>
      <c r="I3033" s="1273"/>
      <c r="J3033" s="1273"/>
      <c r="K3033" s="196">
        <v>1.05</v>
      </c>
      <c r="L3033" s="186"/>
      <c r="M3033" s="50"/>
      <c r="N3033" s="50"/>
      <c r="O3033" s="5"/>
      <c r="P3033" s="9"/>
      <c r="Q3033" s="34"/>
      <c r="R3033" s="5"/>
      <c r="S3033" s="35"/>
    </row>
    <row r="3034" spans="1:19" ht="30" customHeight="1" x14ac:dyDescent="0.35">
      <c r="A3034" s="186"/>
      <c r="B3034" s="567"/>
      <c r="C3034" s="567"/>
      <c r="D3034" s="567"/>
      <c r="E3034" s="194"/>
      <c r="F3034" s="1216"/>
      <c r="G3034" s="1268" t="s">
        <v>2875</v>
      </c>
      <c r="H3034" s="1268"/>
      <c r="I3034" s="1268"/>
      <c r="J3034" s="1268"/>
      <c r="K3034" s="196">
        <v>1.07</v>
      </c>
      <c r="L3034" s="186"/>
      <c r="M3034" s="50"/>
      <c r="N3034" s="50"/>
      <c r="O3034" s="5"/>
      <c r="P3034" s="9"/>
      <c r="Q3034" s="34"/>
      <c r="R3034" s="5"/>
      <c r="S3034" s="35"/>
    </row>
    <row r="3035" spans="1:19" ht="30" customHeight="1" x14ac:dyDescent="0.35">
      <c r="A3035" s="186"/>
      <c r="B3035" s="186"/>
      <c r="C3035" s="503"/>
      <c r="D3035" s="503"/>
      <c r="E3035" s="503"/>
      <c r="F3035" s="503"/>
      <c r="G3035" s="503"/>
      <c r="H3035" s="503"/>
      <c r="I3035" s="503"/>
      <c r="J3035" s="186" t="s">
        <v>37</v>
      </c>
      <c r="K3035" s="193">
        <f>+K3032*K3033/K3034</f>
        <v>130.16052760211807</v>
      </c>
      <c r="L3035" s="186" t="s">
        <v>108</v>
      </c>
      <c r="M3035" s="50"/>
      <c r="N3035" s="50"/>
      <c r="O3035" s="5"/>
      <c r="P3035" s="9"/>
      <c r="Q3035" s="34"/>
      <c r="R3035" s="5"/>
      <c r="S3035" s="35"/>
    </row>
    <row r="3036" spans="1:19" ht="30" customHeight="1" thickBot="1" x14ac:dyDescent="0.4">
      <c r="A3036" s="186"/>
      <c r="B3036" s="186"/>
      <c r="C3036" s="503"/>
      <c r="D3036" s="503"/>
      <c r="E3036" s="503"/>
      <c r="F3036" s="503"/>
      <c r="G3036" s="1194" t="s">
        <v>257</v>
      </c>
      <c r="H3036" s="1195"/>
      <c r="I3036" s="1196"/>
      <c r="J3036" s="560">
        <f>VLOOKUP(B3028,'Mil Cost Premiums for PUCs'!$A$4:$R$285,18,FALSE)</f>
        <v>1.1838860786480316</v>
      </c>
      <c r="K3036" s="193">
        <f>+K3035*J3036</f>
        <v>154.09523661763043</v>
      </c>
      <c r="L3036" s="186" t="s">
        <v>108</v>
      </c>
      <c r="M3036" s="50"/>
      <c r="O3036" s="5"/>
      <c r="P3036" s="9"/>
      <c r="Q3036" s="34"/>
      <c r="R3036" s="5"/>
      <c r="S3036" s="35"/>
    </row>
    <row r="3037" spans="1:19" ht="30" customHeight="1" thickBot="1" x14ac:dyDescent="0.4">
      <c r="A3037" s="1429"/>
      <c r="B3037" s="1430"/>
      <c r="C3037" s="1430"/>
      <c r="D3037" s="1430"/>
      <c r="E3037" s="1430"/>
      <c r="F3037" s="1430"/>
      <c r="G3037" s="1430"/>
      <c r="H3037" s="1430"/>
      <c r="I3037" s="1430"/>
      <c r="J3037" s="1430"/>
      <c r="K3037" s="1430"/>
      <c r="L3037" s="1431"/>
      <c r="N3037" s="53"/>
      <c r="O3037" s="5"/>
      <c r="P3037" s="9"/>
      <c r="Q3037" s="34"/>
      <c r="R3037" s="5"/>
      <c r="S3037" s="35"/>
    </row>
    <row r="3038" spans="1:19" ht="30" customHeight="1" x14ac:dyDescent="0.35">
      <c r="A3038" s="455" t="s">
        <v>1</v>
      </c>
      <c r="B3038" s="439">
        <v>7322</v>
      </c>
      <c r="C3038" s="1384" t="s">
        <v>1337</v>
      </c>
      <c r="D3038" s="1385"/>
      <c r="E3038" s="456" t="s">
        <v>3</v>
      </c>
      <c r="F3038" s="457" t="s">
        <v>108</v>
      </c>
      <c r="G3038" s="468" t="s">
        <v>38</v>
      </c>
      <c r="H3038" s="47">
        <v>1836</v>
      </c>
      <c r="I3038" s="456" t="s">
        <v>5</v>
      </c>
      <c r="J3038" s="1411" t="s">
        <v>2874</v>
      </c>
      <c r="K3038" s="1411"/>
      <c r="L3038" s="1412"/>
      <c r="M3038" s="50"/>
      <c r="N3038" s="53"/>
      <c r="O3038" s="5"/>
      <c r="P3038" s="9"/>
      <c r="Q3038" s="34"/>
      <c r="R3038" s="5"/>
      <c r="S3038" s="35"/>
    </row>
    <row r="3039" spans="1:19" ht="30" customHeight="1" x14ac:dyDescent="0.35">
      <c r="A3039" s="494" t="s">
        <v>187</v>
      </c>
      <c r="B3039" s="1280" t="s">
        <v>211</v>
      </c>
      <c r="C3039" s="1281"/>
      <c r="D3039" s="1282"/>
      <c r="E3039" s="566" t="s">
        <v>52</v>
      </c>
      <c r="F3039" s="566" t="s">
        <v>53</v>
      </c>
      <c r="G3039" s="1219" t="s">
        <v>54</v>
      </c>
      <c r="H3039" s="1220"/>
      <c r="I3039" s="185" t="s">
        <v>188</v>
      </c>
      <c r="J3039" s="185"/>
      <c r="K3039" s="1209" t="s">
        <v>180</v>
      </c>
      <c r="L3039" s="1210"/>
      <c r="M3039" s="50"/>
      <c r="N3039" s="472"/>
      <c r="O3039" s="5"/>
      <c r="P3039" s="9"/>
      <c r="Q3039" s="34"/>
      <c r="R3039" s="5"/>
      <c r="S3039" s="35"/>
    </row>
    <row r="3040" spans="1:19" ht="30" customHeight="1" x14ac:dyDescent="0.35">
      <c r="A3040" s="790" t="s">
        <v>1338</v>
      </c>
      <c r="B3040" s="1202" t="s">
        <v>1339</v>
      </c>
      <c r="C3040" s="1203"/>
      <c r="D3040" s="1204"/>
      <c r="E3040" s="194">
        <v>110</v>
      </c>
      <c r="F3040" s="422" t="s">
        <v>108</v>
      </c>
      <c r="G3040" s="707"/>
      <c r="H3040" s="708"/>
      <c r="I3040" s="186">
        <v>1.0900000000000001</v>
      </c>
      <c r="J3040" s="186"/>
      <c r="K3040" s="194">
        <f>+E3040*I3040</f>
        <v>119.9</v>
      </c>
      <c r="L3040" s="186" t="s">
        <v>108</v>
      </c>
      <c r="M3040" s="50"/>
      <c r="N3040" s="509"/>
      <c r="O3040" s="5"/>
      <c r="P3040" s="9"/>
      <c r="Q3040" s="34"/>
      <c r="R3040" s="5"/>
      <c r="S3040" s="35"/>
    </row>
    <row r="3041" spans="1:26" ht="30" customHeight="1" x14ac:dyDescent="0.35">
      <c r="A3041" s="790" t="s">
        <v>1133</v>
      </c>
      <c r="B3041" s="1202" t="s">
        <v>1340</v>
      </c>
      <c r="C3041" s="1203"/>
      <c r="D3041" s="1204"/>
      <c r="E3041" s="194">
        <v>17.7</v>
      </c>
      <c r="F3041" s="422" t="s">
        <v>108</v>
      </c>
      <c r="G3041" s="707"/>
      <c r="H3041" s="708"/>
      <c r="I3041" s="186">
        <v>1.0900000000000001</v>
      </c>
      <c r="J3041" s="186"/>
      <c r="K3041" s="194">
        <f>+E3041*I3041</f>
        <v>19.292999999999999</v>
      </c>
      <c r="L3041" s="186" t="s">
        <v>108</v>
      </c>
      <c r="M3041" s="50"/>
      <c r="N3041" s="50"/>
      <c r="O3041" s="5"/>
      <c r="P3041" s="9"/>
      <c r="Q3041" s="34"/>
      <c r="R3041" s="5"/>
      <c r="S3041" s="35"/>
    </row>
    <row r="3042" spans="1:26" ht="30" customHeight="1" x14ac:dyDescent="0.35">
      <c r="A3042" s="1016" t="s">
        <v>249</v>
      </c>
      <c r="B3042" s="1202" t="s">
        <v>1341</v>
      </c>
      <c r="C3042" s="1203"/>
      <c r="D3042" s="1203"/>
      <c r="E3042" s="194">
        <v>5.0999999999999996</v>
      </c>
      <c r="F3042" s="422" t="s">
        <v>108</v>
      </c>
      <c r="G3042" s="707"/>
      <c r="H3042" s="708"/>
      <c r="I3042" s="186">
        <v>1.0900000000000001</v>
      </c>
      <c r="J3042" s="186"/>
      <c r="K3042" s="194">
        <f>+E3042*I3042</f>
        <v>5.5590000000000002</v>
      </c>
      <c r="L3042" s="186" t="s">
        <v>108</v>
      </c>
      <c r="M3042" s="50"/>
      <c r="N3042" s="50"/>
      <c r="O3042" s="5"/>
      <c r="P3042" s="9"/>
      <c r="Q3042" s="34"/>
      <c r="R3042" s="5"/>
      <c r="S3042" s="35"/>
    </row>
    <row r="3043" spans="1:26" ht="30" customHeight="1" x14ac:dyDescent="0.35">
      <c r="A3043" s="985"/>
      <c r="B3043" s="1211"/>
      <c r="C3043" s="1211"/>
      <c r="D3043" s="1211"/>
      <c r="E3043" s="194"/>
      <c r="F3043" s="186"/>
      <c r="G3043" s="186"/>
      <c r="H3043" s="186"/>
      <c r="I3043" s="186"/>
      <c r="J3043" s="186" t="s">
        <v>223</v>
      </c>
      <c r="K3043" s="194">
        <f>SUM(K3040:K3042)</f>
        <v>144.75200000000001</v>
      </c>
      <c r="L3043" s="186" t="s">
        <v>108</v>
      </c>
      <c r="M3043" s="50"/>
      <c r="N3043" s="50"/>
    </row>
    <row r="3044" spans="1:26" ht="30" customHeight="1" x14ac:dyDescent="0.35">
      <c r="A3044" s="186"/>
      <c r="B3044" s="567"/>
      <c r="C3044" s="567"/>
      <c r="D3044" s="567"/>
      <c r="E3044" s="194"/>
      <c r="F3044" s="1215" t="s">
        <v>195</v>
      </c>
      <c r="G3044" s="1273" t="s">
        <v>196</v>
      </c>
      <c r="H3044" s="1273"/>
      <c r="I3044" s="1273"/>
      <c r="J3044" s="1273"/>
      <c r="K3044" s="196">
        <v>1.05</v>
      </c>
      <c r="L3044" s="186"/>
      <c r="M3044" s="50"/>
      <c r="N3044" s="50"/>
      <c r="O3044" s="5"/>
      <c r="P3044" s="9"/>
      <c r="Q3044" s="34"/>
      <c r="R3044" s="5"/>
      <c r="S3044" s="35"/>
    </row>
    <row r="3045" spans="1:26" ht="30" customHeight="1" x14ac:dyDescent="0.35">
      <c r="A3045" s="186"/>
      <c r="B3045" s="567"/>
      <c r="C3045" s="567"/>
      <c r="D3045" s="567"/>
      <c r="E3045" s="194"/>
      <c r="F3045" s="1216"/>
      <c r="G3045" s="1268" t="s">
        <v>2875</v>
      </c>
      <c r="H3045" s="1268"/>
      <c r="I3045" s="1268"/>
      <c r="J3045" s="1268"/>
      <c r="K3045" s="196">
        <v>1.07</v>
      </c>
      <c r="L3045" s="186"/>
      <c r="M3045" s="97"/>
      <c r="N3045" s="50"/>
      <c r="O3045" s="5"/>
      <c r="P3045" s="9"/>
      <c r="Q3045" s="34"/>
      <c r="R3045" s="5"/>
      <c r="S3045" s="35"/>
    </row>
    <row r="3046" spans="1:26" ht="30" customHeight="1" x14ac:dyDescent="0.35">
      <c r="A3046" s="186"/>
      <c r="B3046" s="186"/>
      <c r="C3046" s="503"/>
      <c r="D3046" s="503"/>
      <c r="E3046" s="503"/>
      <c r="F3046" s="503"/>
      <c r="G3046" s="503"/>
      <c r="H3046" s="503"/>
      <c r="I3046" s="503"/>
      <c r="J3046" s="186" t="s">
        <v>37</v>
      </c>
      <c r="K3046" s="193">
        <f>+K3043*K3044/K3045</f>
        <v>142.04635514018693</v>
      </c>
      <c r="L3046" s="186" t="s">
        <v>108</v>
      </c>
      <c r="M3046" s="50"/>
      <c r="N3046" s="50"/>
      <c r="O3046" s="5"/>
      <c r="P3046" s="9"/>
      <c r="Q3046" s="34"/>
      <c r="R3046" s="5"/>
      <c r="S3046" s="35"/>
    </row>
    <row r="3047" spans="1:26" ht="30" customHeight="1" thickBot="1" x14ac:dyDescent="0.4">
      <c r="A3047" s="186"/>
      <c r="B3047" s="186"/>
      <c r="C3047" s="503"/>
      <c r="D3047" s="503"/>
      <c r="E3047" s="503"/>
      <c r="F3047" s="503"/>
      <c r="G3047" s="1194" t="s">
        <v>257</v>
      </c>
      <c r="H3047" s="1195"/>
      <c r="I3047" s="1196"/>
      <c r="J3047" s="560">
        <f>VLOOKUP(B3038,'Mil Cost Premiums for PUCs'!$A$4:$R$285,18,FALSE)</f>
        <v>1.1838860786480316</v>
      </c>
      <c r="K3047" s="193">
        <f>+K3046*J3047</f>
        <v>168.16670237316157</v>
      </c>
      <c r="L3047" s="186" t="s">
        <v>108</v>
      </c>
      <c r="M3047" s="50"/>
      <c r="N3047" s="50"/>
      <c r="O3047" s="5"/>
      <c r="P3047" s="9"/>
      <c r="Q3047" s="34"/>
      <c r="R3047" s="5"/>
      <c r="S3047" s="35"/>
    </row>
    <row r="3048" spans="1:26" ht="30" customHeight="1" thickBot="1" x14ac:dyDescent="0.4">
      <c r="A3048" s="1429"/>
      <c r="B3048" s="1430"/>
      <c r="C3048" s="1430"/>
      <c r="D3048" s="1430"/>
      <c r="E3048" s="1430"/>
      <c r="F3048" s="1430"/>
      <c r="G3048" s="1430"/>
      <c r="H3048" s="1430"/>
      <c r="I3048" s="1430"/>
      <c r="J3048" s="1430"/>
      <c r="K3048" s="1430"/>
      <c r="L3048" s="1431"/>
      <c r="O3048" s="5"/>
      <c r="P3048" s="9"/>
      <c r="Q3048" s="34"/>
      <c r="R3048" s="5"/>
      <c r="S3048" s="35"/>
    </row>
    <row r="3049" spans="1:26" ht="30" customHeight="1" x14ac:dyDescent="0.35">
      <c r="A3049" s="388" t="s">
        <v>1</v>
      </c>
      <c r="B3049" s="389">
        <v>7323</v>
      </c>
      <c r="C3049" s="1205" t="s">
        <v>1342</v>
      </c>
      <c r="D3049" s="1206"/>
      <c r="E3049" s="392" t="s">
        <v>3</v>
      </c>
      <c r="F3049" s="393" t="s">
        <v>108</v>
      </c>
      <c r="G3049" s="390" t="s">
        <v>38</v>
      </c>
      <c r="H3049" s="132">
        <v>2026</v>
      </c>
      <c r="I3049" s="392" t="s">
        <v>5</v>
      </c>
      <c r="J3049" s="1207" t="s">
        <v>2874</v>
      </c>
      <c r="K3049" s="1207"/>
      <c r="L3049" s="1208"/>
      <c r="M3049" s="50"/>
      <c r="N3049" s="50"/>
      <c r="O3049" s="5"/>
      <c r="P3049" s="9"/>
      <c r="Q3049" s="34"/>
      <c r="R3049" s="5"/>
      <c r="S3049" s="35"/>
    </row>
    <row r="3050" spans="1:26" ht="30" customHeight="1" x14ac:dyDescent="0.35">
      <c r="A3050" s="494" t="s">
        <v>187</v>
      </c>
      <c r="B3050" s="1280" t="s">
        <v>211</v>
      </c>
      <c r="C3050" s="1281"/>
      <c r="D3050" s="1282"/>
      <c r="E3050" s="566" t="s">
        <v>52</v>
      </c>
      <c r="F3050" s="566" t="s">
        <v>53</v>
      </c>
      <c r="G3050" s="1219" t="s">
        <v>54</v>
      </c>
      <c r="H3050" s="1220"/>
      <c r="I3050" s="185" t="s">
        <v>188</v>
      </c>
      <c r="J3050" s="185"/>
      <c r="K3050" s="399" t="s">
        <v>180</v>
      </c>
      <c r="L3050" s="400"/>
      <c r="M3050" s="50"/>
      <c r="N3050" s="50"/>
      <c r="O3050" s="5"/>
      <c r="P3050" s="9"/>
      <c r="Q3050" s="34"/>
      <c r="R3050" s="5"/>
      <c r="S3050" s="35"/>
    </row>
    <row r="3051" spans="1:26" ht="30" customHeight="1" x14ac:dyDescent="0.35">
      <c r="A3051" s="790" t="s">
        <v>1343</v>
      </c>
      <c r="B3051" s="1211" t="s">
        <v>1344</v>
      </c>
      <c r="C3051" s="1211"/>
      <c r="D3051" s="1211"/>
      <c r="E3051" s="194">
        <v>14.55</v>
      </c>
      <c r="F3051" s="186" t="s">
        <v>108</v>
      </c>
      <c r="G3051" s="186"/>
      <c r="H3051" s="186"/>
      <c r="I3051" s="186">
        <v>0.99</v>
      </c>
      <c r="J3051" s="186"/>
      <c r="K3051" s="194">
        <f>+E3051*I3051</f>
        <v>14.404500000000001</v>
      </c>
      <c r="L3051" s="186" t="s">
        <v>108</v>
      </c>
      <c r="M3051" s="50"/>
      <c r="N3051" s="50"/>
      <c r="O3051" s="5"/>
      <c r="P3051" s="9"/>
      <c r="Q3051" s="34"/>
      <c r="R3051" s="5"/>
      <c r="S3051" s="35"/>
    </row>
    <row r="3052" spans="1:26" ht="30" customHeight="1" x14ac:dyDescent="0.35">
      <c r="A3052" s="790" t="s">
        <v>1345</v>
      </c>
      <c r="B3052" s="1202" t="s">
        <v>1346</v>
      </c>
      <c r="C3052" s="1203"/>
      <c r="D3052" s="1204"/>
      <c r="E3052" s="194">
        <f>(605+3025)/2</f>
        <v>1815</v>
      </c>
      <c r="F3052" s="755" t="s">
        <v>40</v>
      </c>
      <c r="G3052" s="658">
        <f>(E3052)/H3049</f>
        <v>0.89585389930898318</v>
      </c>
      <c r="H3052" s="186" t="s">
        <v>108</v>
      </c>
      <c r="I3052" s="186">
        <v>0.99</v>
      </c>
      <c r="J3052" s="186"/>
      <c r="K3052" s="194">
        <f>G3052*I3052</f>
        <v>0.88689536031589333</v>
      </c>
      <c r="L3052" s="186" t="s">
        <v>108</v>
      </c>
      <c r="M3052" s="50"/>
      <c r="N3052" s="50"/>
      <c r="O3052" s="5"/>
      <c r="P3052" s="9"/>
      <c r="Q3052" s="34"/>
      <c r="R3052" s="5"/>
      <c r="S3052" s="35"/>
      <c r="X3052" s="396"/>
      <c r="Y3052" s="396"/>
    </row>
    <row r="3053" spans="1:26" ht="30" customHeight="1" x14ac:dyDescent="0.35">
      <c r="A3053" s="790" t="s">
        <v>1345</v>
      </c>
      <c r="B3053" s="1212" t="s">
        <v>1347</v>
      </c>
      <c r="C3053" s="1213"/>
      <c r="D3053" s="1214"/>
      <c r="E3053" s="194">
        <f>(1060+2725)/2</f>
        <v>1892.5</v>
      </c>
      <c r="F3053" s="755" t="s">
        <v>40</v>
      </c>
      <c r="G3053" s="658">
        <f>(E3053)/H3049</f>
        <v>0.93410661401776895</v>
      </c>
      <c r="H3053" s="716" t="s">
        <v>108</v>
      </c>
      <c r="I3053" s="186">
        <v>0.99</v>
      </c>
      <c r="J3053" s="136"/>
      <c r="K3053" s="194">
        <f>G3053*I3053</f>
        <v>0.92476554787759124</v>
      </c>
      <c r="L3053" s="186" t="s">
        <v>108</v>
      </c>
      <c r="M3053" s="50"/>
      <c r="N3053" s="53"/>
      <c r="O3053" s="5"/>
      <c r="P3053" s="9"/>
      <c r="Q3053" s="34"/>
      <c r="R3053" s="5"/>
      <c r="S3053" s="35"/>
      <c r="Z3053" s="396"/>
    </row>
    <row r="3054" spans="1:26" ht="30" customHeight="1" x14ac:dyDescent="0.35">
      <c r="A3054" s="186"/>
      <c r="B3054" s="567"/>
      <c r="C3054" s="567"/>
      <c r="D3054" s="567"/>
      <c r="E3054" s="194"/>
      <c r="F3054" s="1215" t="s">
        <v>195</v>
      </c>
      <c r="G3054" s="1329" t="s">
        <v>196</v>
      </c>
      <c r="H3054" s="1330"/>
      <c r="I3054" s="1330"/>
      <c r="J3054" s="1331"/>
      <c r="K3054" s="196">
        <v>1.02</v>
      </c>
      <c r="L3054" s="186"/>
      <c r="M3054" s="50"/>
      <c r="N3054" s="53"/>
      <c r="O3054" s="5"/>
      <c r="P3054" s="9"/>
      <c r="Q3054" s="34"/>
      <c r="R3054" s="5"/>
      <c r="S3054" s="35"/>
    </row>
    <row r="3055" spans="1:26" ht="30" customHeight="1" x14ac:dyDescent="0.35">
      <c r="A3055" s="186"/>
      <c r="B3055" s="567"/>
      <c r="C3055" s="567"/>
      <c r="D3055" s="567"/>
      <c r="E3055" s="194"/>
      <c r="F3055" s="1216"/>
      <c r="G3055" s="1268" t="s">
        <v>2875</v>
      </c>
      <c r="H3055" s="1268"/>
      <c r="I3055" s="1268"/>
      <c r="J3055" s="1268"/>
      <c r="K3055" s="196">
        <v>1.07</v>
      </c>
      <c r="L3055" s="186"/>
      <c r="M3055" s="50"/>
      <c r="N3055" s="53"/>
      <c r="O3055" s="5"/>
      <c r="P3055" s="9"/>
      <c r="Q3055" s="34"/>
      <c r="R3055" s="5"/>
      <c r="S3055" s="35"/>
    </row>
    <row r="3056" spans="1:26" ht="30" customHeight="1" x14ac:dyDescent="0.35">
      <c r="A3056" s="186"/>
      <c r="B3056" s="186"/>
      <c r="C3056" s="503"/>
      <c r="D3056" s="503"/>
      <c r="E3056" s="503"/>
      <c r="F3056" s="503"/>
      <c r="G3056" s="503"/>
      <c r="H3056" s="503"/>
      <c r="I3056" s="503"/>
      <c r="J3056" s="186" t="s">
        <v>37</v>
      </c>
      <c r="K3056" s="193">
        <f>+(K3051+K3052+K3053)*K3054/K3055</f>
        <v>15.458396379773228</v>
      </c>
      <c r="L3056" s="186" t="s">
        <v>108</v>
      </c>
      <c r="M3056" s="50"/>
      <c r="N3056" s="50"/>
      <c r="O3056" s="5"/>
      <c r="P3056" s="9"/>
      <c r="Q3056" s="34"/>
      <c r="R3056" s="5"/>
      <c r="S3056" s="35"/>
    </row>
    <row r="3057" spans="1:25" ht="30" customHeight="1" thickBot="1" x14ac:dyDescent="0.4">
      <c r="A3057" s="186"/>
      <c r="B3057" s="186"/>
      <c r="C3057" s="503"/>
      <c r="D3057" s="503"/>
      <c r="E3057" s="503"/>
      <c r="F3057" s="503"/>
      <c r="G3057" s="1194" t="s">
        <v>257</v>
      </c>
      <c r="H3057" s="1195"/>
      <c r="I3057" s="1196"/>
      <c r="J3057" s="560">
        <f>VLOOKUP(B3049,'Mil Cost Premiums for PUCs'!$A$4:$R$285,18,FALSE)</f>
        <v>1.0209999999999999</v>
      </c>
      <c r="K3057" s="193">
        <f>+K3056*J3057</f>
        <v>15.783022703748465</v>
      </c>
      <c r="L3057" s="186" t="s">
        <v>108</v>
      </c>
      <c r="M3057" s="50"/>
      <c r="N3057" s="50"/>
      <c r="O3057" s="5"/>
      <c r="P3057" s="9"/>
      <c r="Q3057" s="34"/>
      <c r="R3057" s="5"/>
      <c r="S3057" s="35"/>
    </row>
    <row r="3058" spans="1:25" ht="30" customHeight="1" thickBot="1" x14ac:dyDescent="0.4">
      <c r="A3058" s="1429"/>
      <c r="B3058" s="1430"/>
      <c r="C3058" s="1430"/>
      <c r="D3058" s="1430"/>
      <c r="E3058" s="1430"/>
      <c r="F3058" s="1430"/>
      <c r="G3058" s="1430"/>
      <c r="H3058" s="1430"/>
      <c r="I3058" s="1430"/>
      <c r="J3058" s="1430"/>
      <c r="K3058" s="1430"/>
      <c r="L3058" s="1431"/>
      <c r="N3058" s="50"/>
      <c r="O3058" s="5"/>
      <c r="P3058" s="9"/>
      <c r="Q3058" s="34"/>
      <c r="R3058" s="5"/>
      <c r="S3058" s="35"/>
    </row>
    <row r="3059" spans="1:25" ht="30" customHeight="1" x14ac:dyDescent="0.35">
      <c r="A3059" s="388" t="s">
        <v>1</v>
      </c>
      <c r="B3059" s="389">
        <v>7331</v>
      </c>
      <c r="C3059" s="1290" t="s">
        <v>1348</v>
      </c>
      <c r="D3059" s="1291"/>
      <c r="E3059" s="392" t="s">
        <v>3</v>
      </c>
      <c r="F3059" s="393" t="s">
        <v>108</v>
      </c>
      <c r="G3059" s="390" t="s">
        <v>38</v>
      </c>
      <c r="H3059" s="132">
        <v>6434.1336325678403</v>
      </c>
      <c r="I3059" s="392" t="s">
        <v>5</v>
      </c>
      <c r="J3059" s="1411" t="s">
        <v>2481</v>
      </c>
      <c r="K3059" s="1411"/>
      <c r="L3059" s="1412"/>
      <c r="M3059" s="50"/>
      <c r="N3059" s="50"/>
      <c r="O3059" s="5"/>
      <c r="P3059" s="9"/>
      <c r="Q3059" s="34"/>
      <c r="R3059" s="5"/>
      <c r="S3059" s="35"/>
    </row>
    <row r="3060" spans="1:25" ht="30" customHeight="1" x14ac:dyDescent="0.35">
      <c r="A3060" s="185" t="s">
        <v>187</v>
      </c>
      <c r="B3060" s="1272" t="s">
        <v>7</v>
      </c>
      <c r="C3060" s="1272"/>
      <c r="D3060" s="1272"/>
      <c r="E3060" s="1024" t="s">
        <v>52</v>
      </c>
      <c r="F3060" s="1024" t="s">
        <v>53</v>
      </c>
      <c r="G3060" s="1221" t="s">
        <v>54</v>
      </c>
      <c r="H3060" s="1469"/>
      <c r="I3060" s="185" t="s">
        <v>1051</v>
      </c>
      <c r="J3060" s="185" t="s">
        <v>188</v>
      </c>
      <c r="K3060" s="1209" t="s">
        <v>180</v>
      </c>
      <c r="L3060" s="1210"/>
      <c r="M3060" s="50"/>
      <c r="N3060" s="50"/>
      <c r="O3060" s="5"/>
      <c r="P3060" s="9"/>
      <c r="Q3060" s="34"/>
      <c r="R3060" s="5"/>
      <c r="S3060" s="35"/>
    </row>
    <row r="3061" spans="1:25" ht="30" customHeight="1" x14ac:dyDescent="0.35">
      <c r="A3061" s="790" t="s">
        <v>1349</v>
      </c>
      <c r="B3061" s="1202" t="s">
        <v>1350</v>
      </c>
      <c r="C3061" s="1203"/>
      <c r="D3061" s="1204"/>
      <c r="E3061" s="194">
        <v>182</v>
      </c>
      <c r="F3061" s="422" t="s">
        <v>108</v>
      </c>
      <c r="G3061" s="707"/>
      <c r="H3061" s="708" t="s">
        <v>108</v>
      </c>
      <c r="I3061" s="278"/>
      <c r="J3061" s="204">
        <v>1.1000000000000001</v>
      </c>
      <c r="K3061" s="194">
        <f>+E3061*J3061</f>
        <v>200.20000000000002</v>
      </c>
      <c r="L3061" s="186" t="s">
        <v>108</v>
      </c>
      <c r="M3061" s="50"/>
      <c r="N3061" s="50"/>
      <c r="O3061" s="5"/>
      <c r="P3061" s="9"/>
      <c r="Q3061" s="34"/>
      <c r="R3061" s="5"/>
      <c r="S3061" s="35"/>
    </row>
    <row r="3062" spans="1:25" ht="30" customHeight="1" x14ac:dyDescent="0.35">
      <c r="A3062" s="790" t="s">
        <v>1172</v>
      </c>
      <c r="B3062" s="1202" t="s">
        <v>940</v>
      </c>
      <c r="C3062" s="1203"/>
      <c r="D3062" s="1204"/>
      <c r="E3062" s="194">
        <v>5.24</v>
      </c>
      <c r="F3062" s="422" t="s">
        <v>108</v>
      </c>
      <c r="G3062" s="707"/>
      <c r="H3062" s="708" t="s">
        <v>108</v>
      </c>
      <c r="I3062" s="278"/>
      <c r="J3062" s="204">
        <v>1.1000000000000001</v>
      </c>
      <c r="K3062" s="194">
        <f>+E3062*J3062</f>
        <v>5.7640000000000011</v>
      </c>
      <c r="L3062" s="186" t="s">
        <v>108</v>
      </c>
      <c r="M3062" s="50"/>
      <c r="N3062" s="50"/>
      <c r="O3062" s="5"/>
      <c r="P3062" s="9"/>
      <c r="Q3062" s="34"/>
      <c r="R3062" s="5"/>
      <c r="S3062" s="35"/>
    </row>
    <row r="3063" spans="1:25" ht="30" customHeight="1" x14ac:dyDescent="0.35">
      <c r="A3063" s="790" t="s">
        <v>1351</v>
      </c>
      <c r="B3063" s="1212" t="s">
        <v>2511</v>
      </c>
      <c r="C3063" s="1213"/>
      <c r="D3063" s="1214"/>
      <c r="E3063" s="194">
        <v>1050</v>
      </c>
      <c r="F3063" s="422" t="s">
        <v>28</v>
      </c>
      <c r="G3063" s="62">
        <f>(10*E3063)/H3059</f>
        <v>1.631921343201802</v>
      </c>
      <c r="H3063" s="708" t="s">
        <v>847</v>
      </c>
      <c r="I3063" s="278"/>
      <c r="J3063" s="186">
        <v>1.1200000000000001</v>
      </c>
      <c r="K3063" s="194">
        <f>+G3063*J3063</f>
        <v>1.8277519043860184</v>
      </c>
      <c r="L3063" s="186" t="s">
        <v>108</v>
      </c>
      <c r="M3063" s="50"/>
      <c r="O3063" s="5"/>
      <c r="P3063" s="9"/>
      <c r="Q3063" s="34"/>
      <c r="R3063" s="5"/>
      <c r="S3063" s="35"/>
    </row>
    <row r="3064" spans="1:25" ht="30" customHeight="1" x14ac:dyDescent="0.35">
      <c r="A3064" s="790" t="s">
        <v>828</v>
      </c>
      <c r="B3064" s="1212" t="s">
        <v>2512</v>
      </c>
      <c r="C3064" s="1213"/>
      <c r="D3064" s="1214"/>
      <c r="E3064" s="194">
        <v>840</v>
      </c>
      <c r="F3064" s="422" t="s">
        <v>40</v>
      </c>
      <c r="G3064" s="1025">
        <f>2*E3064/H3059</f>
        <v>0.26110741491228834</v>
      </c>
      <c r="H3064" s="708" t="s">
        <v>847</v>
      </c>
      <c r="I3064" s="278"/>
      <c r="J3064" s="186">
        <v>1.31</v>
      </c>
      <c r="K3064" s="194">
        <f>+G3064*J3064</f>
        <v>0.34205071353509775</v>
      </c>
      <c r="L3064" s="186" t="s">
        <v>108</v>
      </c>
      <c r="M3064" s="50"/>
      <c r="N3064" s="50"/>
      <c r="O3064" s="5"/>
      <c r="P3064" s="9"/>
      <c r="Q3064" s="34"/>
      <c r="R3064" s="5"/>
      <c r="S3064" s="35"/>
    </row>
    <row r="3065" spans="1:25" ht="30" customHeight="1" x14ac:dyDescent="0.35">
      <c r="A3065" s="985"/>
      <c r="B3065" s="567"/>
      <c r="C3065" s="567"/>
      <c r="D3065" s="567"/>
      <c r="E3065" s="194"/>
      <c r="F3065" s="186"/>
      <c r="G3065" s="186"/>
      <c r="H3065" s="186"/>
      <c r="I3065" s="186"/>
      <c r="J3065" s="186" t="s">
        <v>223</v>
      </c>
      <c r="K3065" s="194">
        <f>SUM(K3061:K3064)</f>
        <v>208.13380261792113</v>
      </c>
      <c r="L3065" s="186" t="s">
        <v>108</v>
      </c>
      <c r="M3065" s="50"/>
      <c r="N3065" s="50"/>
    </row>
    <row r="3066" spans="1:25" ht="30" customHeight="1" x14ac:dyDescent="0.35">
      <c r="A3066" s="186"/>
      <c r="B3066" s="567"/>
      <c r="C3066" s="567"/>
      <c r="D3066" s="567"/>
      <c r="E3066" s="194"/>
      <c r="F3066" s="1215" t="s">
        <v>195</v>
      </c>
      <c r="G3066" s="1273" t="s">
        <v>196</v>
      </c>
      <c r="H3066" s="1273"/>
      <c r="I3066" s="1273"/>
      <c r="J3066" s="1273"/>
      <c r="K3066" s="196">
        <v>1.06</v>
      </c>
      <c r="L3066" s="186"/>
      <c r="M3066" s="50"/>
      <c r="N3066" s="50"/>
      <c r="O3066" s="5"/>
      <c r="P3066" s="9"/>
      <c r="Q3066" s="34"/>
      <c r="R3066" s="5"/>
      <c r="S3066" s="35"/>
    </row>
    <row r="3067" spans="1:25" ht="30" customHeight="1" x14ac:dyDescent="0.35">
      <c r="A3067" s="186"/>
      <c r="B3067" s="567"/>
      <c r="C3067" s="567"/>
      <c r="D3067" s="567"/>
      <c r="E3067" s="194"/>
      <c r="F3067" s="1216"/>
      <c r="G3067" s="1268" t="s">
        <v>2477</v>
      </c>
      <c r="H3067" s="1268"/>
      <c r="I3067" s="1268"/>
      <c r="J3067" s="1268"/>
      <c r="K3067" s="196">
        <v>1.05</v>
      </c>
      <c r="L3067" s="186"/>
      <c r="M3067" s="50"/>
      <c r="N3067" s="50"/>
      <c r="O3067" s="5"/>
      <c r="P3067" s="9"/>
      <c r="Q3067" s="34"/>
      <c r="R3067" s="5"/>
      <c r="S3067" s="35"/>
    </row>
    <row r="3068" spans="1:25" ht="30" customHeight="1" x14ac:dyDescent="0.35">
      <c r="A3068" s="921"/>
      <c r="B3068" s="922"/>
      <c r="C3068" s="922"/>
      <c r="D3068" s="922"/>
      <c r="E3068" s="922"/>
      <c r="F3068" s="922"/>
      <c r="G3068" s="922"/>
      <c r="H3068" s="923"/>
      <c r="I3068" s="503"/>
      <c r="J3068" s="186" t="s">
        <v>37</v>
      </c>
      <c r="K3068" s="193">
        <f>+K3065*K3066/K3067</f>
        <v>210.1160293095204</v>
      </c>
      <c r="L3068" s="186" t="s">
        <v>108</v>
      </c>
      <c r="M3068" s="50"/>
      <c r="N3068" s="96"/>
      <c r="O3068" s="5"/>
      <c r="P3068" s="9"/>
      <c r="Q3068" s="34"/>
      <c r="R3068" s="5"/>
      <c r="S3068" s="35"/>
    </row>
    <row r="3069" spans="1:25" ht="30" customHeight="1" x14ac:dyDescent="0.35">
      <c r="A3069" s="933"/>
      <c r="B3069" s="933"/>
      <c r="C3069" s="933"/>
      <c r="D3069" s="933"/>
      <c r="E3069" s="933"/>
      <c r="F3069" s="933"/>
      <c r="G3069" s="1364" t="s">
        <v>257</v>
      </c>
      <c r="H3069" s="1364"/>
      <c r="I3069" s="1364"/>
      <c r="J3069" s="560">
        <f>VLOOKUP(B3059,'Mil Cost Premiums for PUCs'!$A$4:$R$285,18,FALSE)</f>
        <v>1.290538574246207</v>
      </c>
      <c r="K3069" s="193">
        <f>+K3068*J3069</f>
        <v>271.1628408913827</v>
      </c>
      <c r="L3069" s="186" t="s">
        <v>108</v>
      </c>
      <c r="M3069" s="50"/>
      <c r="N3069" s="50"/>
      <c r="O3069" s="5"/>
      <c r="P3069" s="9"/>
      <c r="Q3069" s="34"/>
      <c r="R3069" s="5"/>
      <c r="S3069" s="35"/>
    </row>
    <row r="3070" spans="1:25" ht="30" customHeight="1" thickBot="1" x14ac:dyDescent="0.4">
      <c r="A3070" s="933"/>
      <c r="B3070" s="933"/>
      <c r="C3070" s="933"/>
      <c r="D3070" s="933"/>
      <c r="E3070" s="933"/>
      <c r="F3070" s="933"/>
      <c r="G3070" s="1497" t="s">
        <v>3000</v>
      </c>
      <c r="H3070" s="1498"/>
      <c r="I3070" s="1499"/>
      <c r="J3070" s="560">
        <v>1.0438745311870361</v>
      </c>
      <c r="K3070" s="193">
        <f>+K3069*J3070</f>
        <v>283.05998341083699</v>
      </c>
      <c r="L3070" s="186" t="s">
        <v>108</v>
      </c>
      <c r="M3070" s="50"/>
      <c r="N3070" s="106"/>
      <c r="O3070" s="1023"/>
      <c r="P3070" s="9"/>
      <c r="Q3070" s="34"/>
      <c r="R3070" s="5"/>
      <c r="S3070" s="35"/>
    </row>
    <row r="3071" spans="1:25" ht="30" customHeight="1" thickBot="1" x14ac:dyDescent="0.4">
      <c r="A3071" s="1429"/>
      <c r="B3071" s="1430"/>
      <c r="C3071" s="1430"/>
      <c r="D3071" s="1430"/>
      <c r="E3071" s="1430"/>
      <c r="F3071" s="1430"/>
      <c r="G3071" s="1430"/>
      <c r="H3071" s="1430"/>
      <c r="I3071" s="1430"/>
      <c r="J3071" s="1430"/>
      <c r="K3071" s="1430"/>
      <c r="L3071" s="1431"/>
      <c r="M3071" s="50"/>
      <c r="N3071" s="50"/>
      <c r="O3071" s="5"/>
      <c r="P3071" s="9"/>
      <c r="Q3071" s="34"/>
      <c r="R3071" s="5"/>
      <c r="S3071" s="35"/>
      <c r="X3071" s="396"/>
      <c r="Y3071" s="396"/>
    </row>
    <row r="3072" spans="1:25" ht="30" customHeight="1" x14ac:dyDescent="0.35">
      <c r="A3072" s="388" t="s">
        <v>1</v>
      </c>
      <c r="B3072" s="389">
        <v>7332</v>
      </c>
      <c r="C3072" s="1345" t="s">
        <v>1352</v>
      </c>
      <c r="D3072" s="1346"/>
      <c r="E3072" s="390" t="s">
        <v>3</v>
      </c>
      <c r="F3072" s="391" t="s">
        <v>108</v>
      </c>
      <c r="G3072" s="392" t="s">
        <v>38</v>
      </c>
      <c r="H3072" s="393">
        <v>3077</v>
      </c>
      <c r="I3072" s="392" t="s">
        <v>5</v>
      </c>
      <c r="J3072" s="1304" t="s">
        <v>1353</v>
      </c>
      <c r="K3072" s="1305"/>
      <c r="L3072" s="1306"/>
      <c r="M3072" s="97"/>
      <c r="N3072" s="50"/>
      <c r="O3072" s="5"/>
      <c r="P3072" s="9"/>
      <c r="Q3072" s="34"/>
      <c r="R3072" s="5"/>
      <c r="S3072" s="35"/>
      <c r="X3072" s="396"/>
      <c r="Y3072" s="396"/>
    </row>
    <row r="3073" spans="1:26" ht="30" customHeight="1" x14ac:dyDescent="0.35">
      <c r="A3073" s="185"/>
      <c r="B3073" s="1272" t="s">
        <v>7</v>
      </c>
      <c r="C3073" s="1272"/>
      <c r="D3073" s="1272"/>
      <c r="E3073" s="185" t="s">
        <v>52</v>
      </c>
      <c r="F3073" s="185" t="s">
        <v>53</v>
      </c>
      <c r="G3073" s="1219" t="s">
        <v>54</v>
      </c>
      <c r="H3073" s="1220"/>
      <c r="I3073" s="185" t="s">
        <v>55</v>
      </c>
      <c r="J3073" s="185" t="s">
        <v>56</v>
      </c>
      <c r="K3073" s="1209" t="s">
        <v>37</v>
      </c>
      <c r="L3073" s="1210"/>
      <c r="M3073" s="97"/>
      <c r="N3073" s="50"/>
      <c r="P3073" s="9"/>
      <c r="Q3073" s="34"/>
      <c r="R3073" s="5"/>
      <c r="S3073" s="35"/>
      <c r="Z3073" s="396"/>
    </row>
    <row r="3074" spans="1:26" ht="30" customHeight="1" thickBot="1" x14ac:dyDescent="0.4">
      <c r="A3074" s="407"/>
      <c r="B3074" s="1446" t="str">
        <f>C3059</f>
        <v>Exchange Eating Facility</v>
      </c>
      <c r="C3074" s="1446"/>
      <c r="D3074" s="1446"/>
      <c r="E3074" s="713">
        <f>+K3070</f>
        <v>283.05998341083699</v>
      </c>
      <c r="F3074" s="188"/>
      <c r="G3074" s="1332"/>
      <c r="H3074" s="1333"/>
      <c r="I3074" s="188"/>
      <c r="J3074" s="470"/>
      <c r="K3074" s="471">
        <f>E3074</f>
        <v>283.05998341083699</v>
      </c>
      <c r="L3074" s="188" t="s">
        <v>108</v>
      </c>
      <c r="M3074" s="50"/>
      <c r="N3074" s="50"/>
      <c r="P3074" s="9"/>
      <c r="Q3074" s="34"/>
      <c r="R3074" s="5"/>
      <c r="S3074" s="35"/>
    </row>
    <row r="3075" spans="1:26" ht="30" customHeight="1" thickBot="1" x14ac:dyDescent="0.4">
      <c r="A3075" s="1199"/>
      <c r="B3075" s="1200"/>
      <c r="C3075" s="1200"/>
      <c r="D3075" s="1200"/>
      <c r="E3075" s="1200"/>
      <c r="F3075" s="1200"/>
      <c r="G3075" s="1200"/>
      <c r="H3075" s="1200"/>
      <c r="I3075" s="1200"/>
      <c r="J3075" s="1200"/>
      <c r="K3075" s="1200"/>
      <c r="L3075" s="1201"/>
      <c r="M3075" s="50"/>
      <c r="N3075" s="50"/>
      <c r="O3075" s="5"/>
      <c r="P3075" s="9"/>
      <c r="Q3075" s="34"/>
      <c r="R3075" s="5"/>
      <c r="S3075" s="35"/>
    </row>
    <row r="3076" spans="1:26" ht="30" customHeight="1" x14ac:dyDescent="0.35">
      <c r="A3076" s="388" t="s">
        <v>1</v>
      </c>
      <c r="B3076" s="389">
        <v>7333</v>
      </c>
      <c r="C3076" s="1345" t="s">
        <v>1354</v>
      </c>
      <c r="D3076" s="1346"/>
      <c r="E3076" s="392" t="s">
        <v>3</v>
      </c>
      <c r="F3076" s="393" t="s">
        <v>108</v>
      </c>
      <c r="G3076" s="390" t="s">
        <v>38</v>
      </c>
      <c r="H3076" s="132">
        <v>14084.0772204968</v>
      </c>
      <c r="I3076" s="392" t="s">
        <v>5</v>
      </c>
      <c r="J3076" s="1207" t="s">
        <v>2481</v>
      </c>
      <c r="K3076" s="1207"/>
      <c r="L3076" s="1208"/>
      <c r="M3076" s="50"/>
      <c r="N3076" s="50"/>
      <c r="O3076" s="5"/>
      <c r="P3076" s="9"/>
      <c r="Q3076" s="34"/>
      <c r="R3076" s="5"/>
      <c r="S3076" s="35"/>
    </row>
    <row r="3077" spans="1:26" ht="30" customHeight="1" x14ac:dyDescent="0.35">
      <c r="A3077" s="185" t="s">
        <v>187</v>
      </c>
      <c r="B3077" s="540" t="s">
        <v>211</v>
      </c>
      <c r="C3077" s="541"/>
      <c r="D3077" s="542"/>
      <c r="E3077" s="1024" t="s">
        <v>52</v>
      </c>
      <c r="F3077" s="1024" t="s">
        <v>53</v>
      </c>
      <c r="G3077" s="1221" t="s">
        <v>54</v>
      </c>
      <c r="H3077" s="1469"/>
      <c r="I3077" s="185" t="s">
        <v>1051</v>
      </c>
      <c r="J3077" s="185" t="s">
        <v>188</v>
      </c>
      <c r="K3077" s="1209" t="s">
        <v>180</v>
      </c>
      <c r="L3077" s="1210"/>
      <c r="M3077" s="50"/>
      <c r="N3077" s="50"/>
      <c r="O3077" s="14"/>
      <c r="P3077" s="9"/>
      <c r="Q3077" s="34"/>
      <c r="R3077" s="5"/>
      <c r="S3077" s="35"/>
    </row>
    <row r="3078" spans="1:26" ht="30" customHeight="1" x14ac:dyDescent="0.35">
      <c r="A3078" s="790" t="s">
        <v>1439</v>
      </c>
      <c r="B3078" s="1202" t="s">
        <v>2514</v>
      </c>
      <c r="C3078" s="1203"/>
      <c r="D3078" s="1204"/>
      <c r="E3078" s="194">
        <v>151</v>
      </c>
      <c r="F3078" s="422" t="s">
        <v>108</v>
      </c>
      <c r="G3078" s="707"/>
      <c r="H3078" s="708"/>
      <c r="I3078" s="278"/>
      <c r="J3078" s="186">
        <v>1.34</v>
      </c>
      <c r="K3078" s="194">
        <f>+E3078*J3078</f>
        <v>202.34</v>
      </c>
      <c r="L3078" s="186" t="s">
        <v>108</v>
      </c>
      <c r="M3078" s="50"/>
      <c r="N3078" s="50"/>
      <c r="O3078" s="14"/>
      <c r="P3078" s="9"/>
      <c r="Q3078" s="34"/>
      <c r="R3078" s="5"/>
      <c r="S3078" s="35"/>
    </row>
    <row r="3079" spans="1:26" ht="30" customHeight="1" x14ac:dyDescent="0.35">
      <c r="A3079" s="790" t="s">
        <v>1191</v>
      </c>
      <c r="B3079" s="1202" t="s">
        <v>439</v>
      </c>
      <c r="C3079" s="1203"/>
      <c r="D3079" s="1204"/>
      <c r="E3079" s="194">
        <v>4.1399999999999997</v>
      </c>
      <c r="F3079" s="422" t="s">
        <v>108</v>
      </c>
      <c r="G3079" s="883"/>
      <c r="H3079" s="708"/>
      <c r="I3079" s="278"/>
      <c r="J3079" s="186">
        <v>1.34</v>
      </c>
      <c r="K3079" s="194">
        <f>+E3079*J3079</f>
        <v>5.5476000000000001</v>
      </c>
      <c r="L3079" s="186" t="s">
        <v>108</v>
      </c>
      <c r="M3079" s="50"/>
      <c r="O3079" s="5"/>
      <c r="P3079" s="9"/>
      <c r="Q3079" s="34"/>
      <c r="R3079" s="5"/>
      <c r="S3079" s="35"/>
    </row>
    <row r="3080" spans="1:26" ht="30" customHeight="1" x14ac:dyDescent="0.35">
      <c r="A3080" s="790" t="s">
        <v>1351</v>
      </c>
      <c r="B3080" s="1202" t="s">
        <v>1355</v>
      </c>
      <c r="C3080" s="1203"/>
      <c r="D3080" s="1204"/>
      <c r="E3080" s="194">
        <v>1050</v>
      </c>
      <c r="F3080" s="422" t="s">
        <v>28</v>
      </c>
      <c r="G3080" s="62">
        <f>(2*10*E3080)/H3076</f>
        <v>1.4910455027496115</v>
      </c>
      <c r="H3080" s="708" t="s">
        <v>847</v>
      </c>
      <c r="I3080" s="278"/>
      <c r="J3080" s="186">
        <v>1.1200000000000001</v>
      </c>
      <c r="K3080" s="194">
        <f>+G3080*J3080</f>
        <v>1.6699709630795649</v>
      </c>
      <c r="L3080" s="186" t="s">
        <v>108</v>
      </c>
      <c r="M3080" s="50"/>
      <c r="N3080" s="50"/>
      <c r="O3080" s="5"/>
      <c r="P3080" s="9"/>
      <c r="Q3080" s="34"/>
      <c r="R3080" s="5"/>
      <c r="S3080" s="35"/>
    </row>
    <row r="3081" spans="1:26" ht="30" customHeight="1" x14ac:dyDescent="0.35">
      <c r="A3081" s="790" t="s">
        <v>828</v>
      </c>
      <c r="B3081" s="1212" t="s">
        <v>1356</v>
      </c>
      <c r="C3081" s="1213"/>
      <c r="D3081" s="1214"/>
      <c r="E3081" s="194">
        <v>840</v>
      </c>
      <c r="F3081" s="422" t="s">
        <v>40</v>
      </c>
      <c r="G3081" s="1025">
        <f>4*E3081/H3076</f>
        <v>0.23856728043993783</v>
      </c>
      <c r="H3081" s="708" t="s">
        <v>847</v>
      </c>
      <c r="I3081" s="278"/>
      <c r="J3081" s="186">
        <v>1.31</v>
      </c>
      <c r="K3081" s="194">
        <f>+G3081*J3081</f>
        <v>0.31252313737631859</v>
      </c>
      <c r="L3081" s="186" t="s">
        <v>108</v>
      </c>
      <c r="M3081" s="50"/>
      <c r="N3081" s="50"/>
      <c r="O3081" s="5"/>
      <c r="P3081" s="9"/>
      <c r="Q3081" s="34"/>
      <c r="R3081" s="5"/>
      <c r="S3081" s="35"/>
      <c r="U3081" s="396"/>
    </row>
    <row r="3082" spans="1:26" ht="30" customHeight="1" x14ac:dyDescent="0.35">
      <c r="A3082" s="186" t="s">
        <v>268</v>
      </c>
      <c r="B3082" s="1212" t="s">
        <v>2501</v>
      </c>
      <c r="C3082" s="1213"/>
      <c r="D3082" s="1214"/>
      <c r="E3082" s="194">
        <f>(24+37.25)/2</f>
        <v>30.625</v>
      </c>
      <c r="F3082" s="127" t="s">
        <v>108</v>
      </c>
      <c r="G3082" s="117">
        <f>120*2</f>
        <v>240</v>
      </c>
      <c r="H3082" s="554" t="s">
        <v>275</v>
      </c>
      <c r="I3082" s="141">
        <f>+E3082*G3082/H3076</f>
        <v>0.52186592596236403</v>
      </c>
      <c r="J3082" s="186">
        <v>1.22</v>
      </c>
      <c r="K3082" s="7">
        <f>+I3082*J3082</f>
        <v>0.63667642967408411</v>
      </c>
      <c r="L3082" s="186" t="s">
        <v>108</v>
      </c>
      <c r="M3082" s="50"/>
      <c r="N3082" s="50"/>
      <c r="O3082" s="5"/>
      <c r="V3082" s="396"/>
      <c r="W3082" s="396"/>
    </row>
    <row r="3083" spans="1:26" ht="30" customHeight="1" x14ac:dyDescent="0.35">
      <c r="A3083" s="186" t="s">
        <v>268</v>
      </c>
      <c r="B3083" s="1212" t="s">
        <v>2502</v>
      </c>
      <c r="C3083" s="1213"/>
      <c r="D3083" s="1214"/>
      <c r="E3083" s="194">
        <f>(2020+2850)/2</f>
        <v>2435</v>
      </c>
      <c r="F3083" s="127" t="s">
        <v>40</v>
      </c>
      <c r="G3083" s="117"/>
      <c r="H3083" s="554"/>
      <c r="I3083" s="141">
        <f>2*E3083/H3076</f>
        <v>0.34578055230431465</v>
      </c>
      <c r="J3083" s="186">
        <v>1.22</v>
      </c>
      <c r="K3083" s="7">
        <f>+I3083*J3083</f>
        <v>0.42185227381126383</v>
      </c>
      <c r="L3083" s="186" t="s">
        <v>108</v>
      </c>
      <c r="M3083" s="50"/>
      <c r="N3083" s="50"/>
      <c r="O3083" s="5"/>
      <c r="P3083" s="384"/>
      <c r="Q3083" s="396"/>
      <c r="R3083" s="396"/>
      <c r="S3083" s="396"/>
      <c r="T3083" s="396"/>
      <c r="U3083" s="53"/>
    </row>
    <row r="3084" spans="1:26" ht="30" customHeight="1" x14ac:dyDescent="0.35">
      <c r="A3084" s="186" t="s">
        <v>271</v>
      </c>
      <c r="B3084" s="1212" t="s">
        <v>2486</v>
      </c>
      <c r="C3084" s="1213"/>
      <c r="D3084" s="1214"/>
      <c r="E3084" s="194">
        <v>72.38</v>
      </c>
      <c r="F3084" s="127" t="s">
        <v>28</v>
      </c>
      <c r="G3084" s="117">
        <v>20</v>
      </c>
      <c r="H3084" s="554" t="s">
        <v>965</v>
      </c>
      <c r="I3084" s="141">
        <f>+E3084*G3084/H3076</f>
        <v>0.10278273665620653</v>
      </c>
      <c r="J3084" s="186">
        <v>1.1200000000000001</v>
      </c>
      <c r="K3084" s="7">
        <f>+I3084*J3084</f>
        <v>0.11511666505495133</v>
      </c>
      <c r="L3084" s="186" t="s">
        <v>108</v>
      </c>
      <c r="M3084" s="50"/>
      <c r="N3084" s="50"/>
      <c r="O3084" s="5"/>
      <c r="U3084" s="10"/>
    </row>
    <row r="3085" spans="1:26" ht="30" customHeight="1" x14ac:dyDescent="0.35">
      <c r="A3085" s="985"/>
      <c r="B3085" s="567"/>
      <c r="C3085" s="567"/>
      <c r="D3085" s="567"/>
      <c r="E3085" s="194"/>
      <c r="F3085" s="186"/>
      <c r="G3085" s="186"/>
      <c r="H3085" s="186"/>
      <c r="I3085" s="186"/>
      <c r="J3085" s="186" t="s">
        <v>223</v>
      </c>
      <c r="K3085" s="194">
        <f>SUM(K3078:K3084)</f>
        <v>211.04373946899619</v>
      </c>
      <c r="L3085" s="186" t="s">
        <v>108</v>
      </c>
      <c r="M3085" s="50"/>
      <c r="N3085" s="96"/>
      <c r="O3085" s="5"/>
      <c r="T3085" s="10"/>
    </row>
    <row r="3086" spans="1:26" ht="30" customHeight="1" x14ac:dyDescent="0.35">
      <c r="A3086" s="186"/>
      <c r="B3086" s="567"/>
      <c r="C3086" s="567"/>
      <c r="D3086" s="567"/>
      <c r="E3086" s="194"/>
      <c r="F3086" s="1215" t="s">
        <v>195</v>
      </c>
      <c r="G3086" s="1273" t="s">
        <v>196</v>
      </c>
      <c r="H3086" s="1273"/>
      <c r="I3086" s="1273"/>
      <c r="J3086" s="1273"/>
      <c r="K3086" s="196">
        <v>1.06</v>
      </c>
      <c r="L3086" s="186"/>
      <c r="M3086" s="50"/>
      <c r="N3086" s="50"/>
      <c r="P3086" s="9"/>
      <c r="Q3086" s="34"/>
      <c r="R3086" s="5"/>
      <c r="S3086" s="35"/>
    </row>
    <row r="3087" spans="1:26" ht="30" customHeight="1" x14ac:dyDescent="0.35">
      <c r="A3087" s="186"/>
      <c r="B3087" s="567"/>
      <c r="C3087" s="567"/>
      <c r="D3087" s="567"/>
      <c r="E3087" s="194"/>
      <c r="F3087" s="1216"/>
      <c r="G3087" s="1491" t="s">
        <v>2477</v>
      </c>
      <c r="H3087" s="1413"/>
      <c r="I3087" s="1413"/>
      <c r="J3087" s="1414"/>
      <c r="K3087" s="196">
        <v>1.05</v>
      </c>
      <c r="L3087" s="186"/>
      <c r="M3087" s="50"/>
      <c r="N3087" s="50"/>
      <c r="P3087" s="9"/>
      <c r="Q3087" s="34"/>
      <c r="R3087" s="5"/>
      <c r="S3087" s="35"/>
      <c r="X3087" s="396"/>
      <c r="Y3087" s="396"/>
    </row>
    <row r="3088" spans="1:26" ht="30" customHeight="1" x14ac:dyDescent="0.35">
      <c r="A3088" s="186"/>
      <c r="B3088" s="186"/>
      <c r="C3088" s="503"/>
      <c r="D3088" s="503"/>
      <c r="E3088" s="503"/>
      <c r="F3088" s="503"/>
      <c r="G3088" s="503"/>
      <c r="H3088" s="503"/>
      <c r="I3088" s="503"/>
      <c r="J3088" s="186" t="s">
        <v>37</v>
      </c>
      <c r="K3088" s="193">
        <f>+K3085*K3086/K3087</f>
        <v>213.05367984489138</v>
      </c>
      <c r="L3088" s="186" t="s">
        <v>108</v>
      </c>
      <c r="M3088" s="50"/>
      <c r="N3088" s="50"/>
      <c r="O3088" s="572"/>
      <c r="P3088" s="9"/>
      <c r="Q3088" s="34"/>
      <c r="R3088" s="5"/>
      <c r="S3088" s="35"/>
      <c r="Z3088" s="396"/>
    </row>
    <row r="3089" spans="1:26" ht="30" customHeight="1" x14ac:dyDescent="0.35">
      <c r="A3089" s="503"/>
      <c r="B3089" s="503"/>
      <c r="C3089" s="503"/>
      <c r="D3089" s="503"/>
      <c r="E3089" s="503"/>
      <c r="F3089" s="503"/>
      <c r="G3089" s="1364" t="s">
        <v>257</v>
      </c>
      <c r="H3089" s="1364"/>
      <c r="I3089" s="1364"/>
      <c r="J3089" s="560">
        <f>VLOOKUP(B3076,'Mil Cost Premiums for PUCs'!$A$4:$R$285,18,FALSE)</f>
        <v>1.3319480854780448</v>
      </c>
      <c r="K3089" s="193">
        <f>+K3088*J3089</f>
        <v>283.77644097345535</v>
      </c>
      <c r="L3089" s="186" t="s">
        <v>108</v>
      </c>
      <c r="M3089" s="50"/>
      <c r="N3089" s="50"/>
      <c r="O3089" s="572"/>
      <c r="P3089" s="9"/>
      <c r="Q3089" s="34"/>
      <c r="R3089" s="5"/>
      <c r="S3089" s="35"/>
    </row>
    <row r="3090" spans="1:26" ht="30" customHeight="1" thickBot="1" x14ac:dyDescent="0.4">
      <c r="A3090" s="503"/>
      <c r="B3090" s="503"/>
      <c r="C3090" s="503"/>
      <c r="D3090" s="503"/>
      <c r="E3090" s="503"/>
      <c r="F3090" s="503"/>
      <c r="G3090" s="1497" t="s">
        <v>3000</v>
      </c>
      <c r="H3090" s="1498"/>
      <c r="I3090" s="1499"/>
      <c r="J3090" s="560">
        <v>1.0438745311870361</v>
      </c>
      <c r="K3090" s="193">
        <f>+K3089*J3090</f>
        <v>296.22699928309135</v>
      </c>
      <c r="L3090" s="186" t="s">
        <v>108</v>
      </c>
      <c r="M3090" s="50"/>
      <c r="N3090" s="50"/>
    </row>
    <row r="3091" spans="1:26" s="396" customFormat="1" ht="30" customHeight="1" thickBot="1" x14ac:dyDescent="0.4">
      <c r="A3091" s="1199"/>
      <c r="B3091" s="1200"/>
      <c r="C3091" s="1200"/>
      <c r="D3091" s="1200"/>
      <c r="E3091" s="1200"/>
      <c r="F3091" s="1200"/>
      <c r="G3091" s="1200"/>
      <c r="H3091" s="1200"/>
      <c r="I3091" s="1200"/>
      <c r="J3091" s="1200"/>
      <c r="K3091" s="1200"/>
      <c r="L3091" s="1201"/>
      <c r="M3091" s="50"/>
      <c r="N3091" s="50"/>
      <c r="O3091" s="9"/>
      <c r="P3091" s="9"/>
      <c r="Q3091" s="34"/>
      <c r="R3091" s="5"/>
      <c r="S3091" s="35"/>
      <c r="T3091" s="9"/>
      <c r="U3091" s="9"/>
      <c r="V3091" s="9"/>
      <c r="W3091" s="9"/>
      <c r="X3091" s="9"/>
      <c r="Y3091" s="9"/>
      <c r="Z3091" s="9"/>
    </row>
    <row r="3092" spans="1:26" ht="30" customHeight="1" x14ac:dyDescent="0.35">
      <c r="A3092" s="388" t="s">
        <v>1</v>
      </c>
      <c r="B3092" s="389">
        <v>7340</v>
      </c>
      <c r="C3092" s="1205" t="s">
        <v>1357</v>
      </c>
      <c r="D3092" s="1206"/>
      <c r="E3092" s="392" t="s">
        <v>3</v>
      </c>
      <c r="F3092" s="393" t="s">
        <v>108</v>
      </c>
      <c r="G3092" s="390" t="s">
        <v>38</v>
      </c>
      <c r="H3092" s="135">
        <v>5155</v>
      </c>
      <c r="I3092" s="392" t="s">
        <v>5</v>
      </c>
      <c r="J3092" s="1207" t="s">
        <v>2874</v>
      </c>
      <c r="K3092" s="1207"/>
      <c r="L3092" s="1208"/>
      <c r="M3092" s="50"/>
      <c r="N3092" s="50"/>
      <c r="P3092" s="9"/>
      <c r="Q3092" s="34"/>
      <c r="R3092" s="5"/>
      <c r="S3092" s="35"/>
    </row>
    <row r="3093" spans="1:26" ht="30" customHeight="1" x14ac:dyDescent="0.35">
      <c r="A3093" s="494" t="s">
        <v>187</v>
      </c>
      <c r="B3093" s="1280" t="s">
        <v>211</v>
      </c>
      <c r="C3093" s="1281"/>
      <c r="D3093" s="1282"/>
      <c r="E3093" s="566" t="s">
        <v>52</v>
      </c>
      <c r="F3093" s="566" t="s">
        <v>53</v>
      </c>
      <c r="G3093" s="1219" t="s">
        <v>54</v>
      </c>
      <c r="H3093" s="1220"/>
      <c r="I3093" s="185" t="s">
        <v>188</v>
      </c>
      <c r="J3093" s="185"/>
      <c r="K3093" s="1209" t="s">
        <v>180</v>
      </c>
      <c r="L3093" s="1210"/>
      <c r="M3093" s="50"/>
      <c r="N3093" s="50"/>
      <c r="O3093" s="572"/>
      <c r="P3093" s="9"/>
      <c r="Q3093" s="34"/>
      <c r="R3093" s="5"/>
      <c r="S3093" s="35"/>
    </row>
    <row r="3094" spans="1:26" ht="30" customHeight="1" x14ac:dyDescent="0.35">
      <c r="A3094" s="790" t="s">
        <v>1358</v>
      </c>
      <c r="B3094" s="1202" t="s">
        <v>1359</v>
      </c>
      <c r="C3094" s="1203"/>
      <c r="D3094" s="1204"/>
      <c r="E3094" s="194">
        <v>111</v>
      </c>
      <c r="F3094" s="422" t="s">
        <v>108</v>
      </c>
      <c r="G3094" s="707"/>
      <c r="H3094" s="708"/>
      <c r="I3094" s="186">
        <v>1.08</v>
      </c>
      <c r="J3094" s="186"/>
      <c r="K3094" s="194">
        <f>+E3094*I3094</f>
        <v>119.88000000000001</v>
      </c>
      <c r="L3094" s="186" t="s">
        <v>108</v>
      </c>
      <c r="M3094" s="50"/>
      <c r="N3094" s="50"/>
      <c r="O3094" s="5"/>
      <c r="P3094" s="9"/>
      <c r="Q3094" s="34"/>
      <c r="R3094" s="5"/>
      <c r="S3094" s="35"/>
    </row>
    <row r="3095" spans="1:26" ht="30" customHeight="1" x14ac:dyDescent="0.35">
      <c r="A3095" s="985" t="s">
        <v>1172</v>
      </c>
      <c r="B3095" s="1202" t="s">
        <v>940</v>
      </c>
      <c r="C3095" s="1203"/>
      <c r="D3095" s="1204"/>
      <c r="E3095" s="194">
        <v>5.24</v>
      </c>
      <c r="F3095" s="422" t="s">
        <v>108</v>
      </c>
      <c r="G3095" s="707"/>
      <c r="H3095" s="708"/>
      <c r="I3095" s="186">
        <v>1.08</v>
      </c>
      <c r="J3095" s="186"/>
      <c r="K3095" s="194">
        <f>+E3095*I3095</f>
        <v>5.6592000000000002</v>
      </c>
      <c r="L3095" s="186" t="s">
        <v>108</v>
      </c>
      <c r="M3095" s="50"/>
      <c r="N3095" s="50"/>
      <c r="O3095" s="15"/>
      <c r="P3095" s="9"/>
      <c r="Q3095" s="34"/>
      <c r="R3095" s="5"/>
      <c r="S3095" s="35"/>
    </row>
    <row r="3096" spans="1:26" ht="30" customHeight="1" x14ac:dyDescent="0.35">
      <c r="A3096" s="186"/>
      <c r="B3096" s="1211"/>
      <c r="C3096" s="1211"/>
      <c r="D3096" s="1211"/>
      <c r="E3096" s="194"/>
      <c r="F3096" s="186"/>
      <c r="G3096" s="186"/>
      <c r="H3096" s="186"/>
      <c r="I3096" s="186"/>
      <c r="J3096" s="186" t="s">
        <v>223</v>
      </c>
      <c r="K3096" s="194">
        <f>SUM(K3094:K3095)</f>
        <v>125.53920000000001</v>
      </c>
      <c r="L3096" s="186" t="s">
        <v>108</v>
      </c>
      <c r="M3096" s="50"/>
      <c r="N3096" s="50"/>
      <c r="P3096" s="9"/>
      <c r="Q3096" s="34"/>
      <c r="R3096" s="5"/>
      <c r="S3096" s="35"/>
    </row>
    <row r="3097" spans="1:26" ht="30" customHeight="1" x14ac:dyDescent="0.35">
      <c r="A3097" s="186"/>
      <c r="B3097" s="567"/>
      <c r="C3097" s="567"/>
      <c r="D3097" s="567"/>
      <c r="E3097" s="194"/>
      <c r="F3097" s="1215" t="s">
        <v>195</v>
      </c>
      <c r="G3097" s="1273" t="s">
        <v>196</v>
      </c>
      <c r="H3097" s="1273"/>
      <c r="I3097" s="1273"/>
      <c r="J3097" s="1273"/>
      <c r="K3097" s="196">
        <v>1.05</v>
      </c>
      <c r="L3097" s="186"/>
      <c r="M3097" s="50"/>
      <c r="P3097" s="9"/>
      <c r="Q3097" s="34"/>
      <c r="R3097" s="5"/>
      <c r="S3097" s="35"/>
    </row>
    <row r="3098" spans="1:26" ht="30" customHeight="1" x14ac:dyDescent="0.35">
      <c r="A3098" s="186"/>
      <c r="B3098" s="567"/>
      <c r="C3098" s="567"/>
      <c r="D3098" s="567"/>
      <c r="E3098" s="194"/>
      <c r="F3098" s="1216"/>
      <c r="G3098" s="1268" t="s">
        <v>2875</v>
      </c>
      <c r="H3098" s="1268"/>
      <c r="I3098" s="1268"/>
      <c r="J3098" s="1268"/>
      <c r="K3098" s="196">
        <v>1.07</v>
      </c>
      <c r="L3098" s="186"/>
      <c r="M3098" s="50"/>
      <c r="N3098" s="50"/>
      <c r="P3098" s="9"/>
      <c r="Q3098" s="34"/>
      <c r="R3098" s="5"/>
      <c r="S3098" s="35"/>
    </row>
    <row r="3099" spans="1:26" ht="30" customHeight="1" x14ac:dyDescent="0.35">
      <c r="A3099" s="186"/>
      <c r="B3099" s="186"/>
      <c r="C3099" s="503"/>
      <c r="D3099" s="503"/>
      <c r="E3099" s="503"/>
      <c r="F3099" s="503"/>
      <c r="G3099" s="503"/>
      <c r="H3099" s="503"/>
      <c r="I3099" s="503"/>
      <c r="J3099" s="186" t="s">
        <v>37</v>
      </c>
      <c r="K3099" s="193">
        <f>+K3096*K3097/K3098</f>
        <v>123.19267289719627</v>
      </c>
      <c r="L3099" s="186" t="s">
        <v>108</v>
      </c>
      <c r="M3099" s="50"/>
      <c r="N3099" s="50"/>
      <c r="O3099" s="539"/>
      <c r="P3099" s="9"/>
      <c r="Q3099" s="34"/>
      <c r="R3099" s="5"/>
      <c r="S3099" s="35"/>
    </row>
    <row r="3100" spans="1:26" ht="30" customHeight="1" thickBot="1" x14ac:dyDescent="0.4">
      <c r="A3100" s="186"/>
      <c r="B3100" s="186"/>
      <c r="C3100" s="503"/>
      <c r="D3100" s="503"/>
      <c r="E3100" s="503"/>
      <c r="F3100" s="503"/>
      <c r="G3100" s="1194" t="s">
        <v>257</v>
      </c>
      <c r="H3100" s="1195"/>
      <c r="I3100" s="1196"/>
      <c r="J3100" s="560">
        <f>VLOOKUP(B3092,'Mil Cost Premiums for PUCs'!$A$4:$R$285,18,FALSE)</f>
        <v>1.0291833149999998</v>
      </c>
      <c r="K3100" s="193">
        <f>+K3099*J3100</f>
        <v>126.7878434760471</v>
      </c>
      <c r="L3100" s="186" t="s">
        <v>108</v>
      </c>
      <c r="M3100" s="50"/>
      <c r="N3100" s="50"/>
      <c r="O3100" s="5"/>
      <c r="P3100" s="9"/>
      <c r="Q3100" s="34"/>
      <c r="R3100" s="5"/>
      <c r="S3100" s="35"/>
    </row>
    <row r="3101" spans="1:26" ht="30" customHeight="1" thickBot="1" x14ac:dyDescent="0.4">
      <c r="A3101" s="1199"/>
      <c r="B3101" s="1200"/>
      <c r="C3101" s="1200"/>
      <c r="D3101" s="1200"/>
      <c r="E3101" s="1200"/>
      <c r="F3101" s="1200"/>
      <c r="G3101" s="1200"/>
      <c r="H3101" s="1200"/>
      <c r="I3101" s="1200"/>
      <c r="J3101" s="1200"/>
      <c r="K3101" s="1200"/>
      <c r="L3101" s="1201"/>
      <c r="N3101" s="50"/>
      <c r="O3101" s="466"/>
      <c r="P3101" s="9"/>
      <c r="Q3101" s="34"/>
      <c r="R3101" s="5"/>
      <c r="S3101" s="35"/>
      <c r="V3101" s="396"/>
      <c r="W3101" s="396"/>
    </row>
    <row r="3102" spans="1:26" ht="30" customHeight="1" x14ac:dyDescent="0.35">
      <c r="A3102" s="388" t="s">
        <v>1</v>
      </c>
      <c r="B3102" s="389">
        <v>7341</v>
      </c>
      <c r="C3102" s="1205" t="s">
        <v>1360</v>
      </c>
      <c r="D3102" s="1206"/>
      <c r="E3102" s="392" t="s">
        <v>3</v>
      </c>
      <c r="F3102" s="393" t="s">
        <v>108</v>
      </c>
      <c r="G3102" s="390" t="s">
        <v>38</v>
      </c>
      <c r="H3102" s="721">
        <v>973</v>
      </c>
      <c r="I3102" s="392" t="s">
        <v>5</v>
      </c>
      <c r="J3102" s="1207" t="s">
        <v>2874</v>
      </c>
      <c r="K3102" s="1207"/>
      <c r="L3102" s="1208"/>
      <c r="M3102" s="50"/>
      <c r="N3102" s="50"/>
      <c r="O3102" s="5"/>
      <c r="P3102" s="384"/>
      <c r="Q3102" s="396"/>
      <c r="R3102" s="396"/>
      <c r="S3102" s="396"/>
      <c r="T3102" s="396"/>
      <c r="V3102" s="396"/>
      <c r="W3102" s="396"/>
    </row>
    <row r="3103" spans="1:26" ht="30" customHeight="1" x14ac:dyDescent="0.35">
      <c r="A3103" s="494" t="s">
        <v>187</v>
      </c>
      <c r="B3103" s="1280" t="s">
        <v>211</v>
      </c>
      <c r="C3103" s="1281"/>
      <c r="D3103" s="1282"/>
      <c r="E3103" s="566" t="s">
        <v>52</v>
      </c>
      <c r="F3103" s="566" t="s">
        <v>53</v>
      </c>
      <c r="G3103" s="1219" t="s">
        <v>54</v>
      </c>
      <c r="H3103" s="1220"/>
      <c r="I3103" s="185" t="s">
        <v>188</v>
      </c>
      <c r="J3103" s="185"/>
      <c r="K3103" s="399" t="s">
        <v>180</v>
      </c>
      <c r="L3103" s="400"/>
      <c r="M3103" s="50"/>
      <c r="N3103" s="50"/>
      <c r="O3103" s="54"/>
      <c r="U3103" s="53"/>
    </row>
    <row r="3104" spans="1:26" ht="30" customHeight="1" x14ac:dyDescent="0.35">
      <c r="A3104" s="790" t="s">
        <v>1361</v>
      </c>
      <c r="B3104" s="1202" t="s">
        <v>1362</v>
      </c>
      <c r="C3104" s="1203"/>
      <c r="D3104" s="1204"/>
      <c r="E3104" s="194">
        <v>148</v>
      </c>
      <c r="F3104" s="422" t="s">
        <v>108</v>
      </c>
      <c r="G3104" s="707"/>
      <c r="H3104" s="708"/>
      <c r="I3104" s="186">
        <v>1.0900000000000001</v>
      </c>
      <c r="J3104" s="186"/>
      <c r="K3104" s="194">
        <f>+E3104*I3104</f>
        <v>161.32000000000002</v>
      </c>
      <c r="L3104" s="186" t="s">
        <v>108</v>
      </c>
      <c r="M3104" s="50"/>
      <c r="N3104" s="50"/>
      <c r="O3104" s="63"/>
      <c r="U3104" s="10"/>
    </row>
    <row r="3105" spans="1:26" ht="30" customHeight="1" x14ac:dyDescent="0.35">
      <c r="A3105" s="985" t="s">
        <v>249</v>
      </c>
      <c r="B3105" s="1202" t="s">
        <v>1341</v>
      </c>
      <c r="C3105" s="1203"/>
      <c r="D3105" s="1204"/>
      <c r="E3105" s="194">
        <v>5.0999999999999996</v>
      </c>
      <c r="F3105" s="422" t="s">
        <v>108</v>
      </c>
      <c r="G3105" s="707"/>
      <c r="H3105" s="708"/>
      <c r="I3105" s="186">
        <v>1.0900000000000001</v>
      </c>
      <c r="J3105" s="186"/>
      <c r="K3105" s="194">
        <f>+E3105*I3105</f>
        <v>5.5590000000000002</v>
      </c>
      <c r="L3105" s="186" t="s">
        <v>108</v>
      </c>
      <c r="M3105" s="50"/>
      <c r="N3105" s="50"/>
      <c r="P3105" s="9"/>
      <c r="Q3105" s="34"/>
      <c r="R3105" s="5"/>
      <c r="S3105" s="35"/>
    </row>
    <row r="3106" spans="1:26" ht="30" customHeight="1" x14ac:dyDescent="0.35">
      <c r="A3106" s="186"/>
      <c r="B3106" s="1211"/>
      <c r="C3106" s="1211"/>
      <c r="D3106" s="1211"/>
      <c r="E3106" s="194"/>
      <c r="F3106" s="186"/>
      <c r="G3106" s="186"/>
      <c r="H3106" s="186"/>
      <c r="I3106" s="186"/>
      <c r="J3106" s="186" t="s">
        <v>223</v>
      </c>
      <c r="K3106" s="194">
        <f>SUM(K3104:K3105)</f>
        <v>166.87900000000002</v>
      </c>
      <c r="L3106" s="186" t="s">
        <v>108</v>
      </c>
      <c r="M3106" s="50"/>
      <c r="N3106" s="96"/>
      <c r="P3106" s="9"/>
      <c r="Q3106" s="34"/>
      <c r="R3106" s="5"/>
      <c r="S3106" s="35"/>
    </row>
    <row r="3107" spans="1:26" ht="30" customHeight="1" x14ac:dyDescent="0.35">
      <c r="A3107" s="186"/>
      <c r="B3107" s="567"/>
      <c r="C3107" s="567"/>
      <c r="D3107" s="567"/>
      <c r="E3107" s="194"/>
      <c r="F3107" s="1215" t="s">
        <v>195</v>
      </c>
      <c r="G3107" s="1273" t="s">
        <v>196</v>
      </c>
      <c r="H3107" s="1273"/>
      <c r="I3107" s="1273"/>
      <c r="J3107" s="1273"/>
      <c r="K3107" s="196">
        <v>1.05</v>
      </c>
      <c r="L3107" s="186"/>
      <c r="M3107" s="50"/>
      <c r="N3107" s="50"/>
      <c r="P3107" s="9"/>
      <c r="Q3107" s="34"/>
      <c r="R3107" s="5"/>
      <c r="S3107" s="35"/>
    </row>
    <row r="3108" spans="1:26" ht="30" customHeight="1" x14ac:dyDescent="0.35">
      <c r="A3108" s="186"/>
      <c r="B3108" s="567"/>
      <c r="C3108" s="567"/>
      <c r="D3108" s="567"/>
      <c r="E3108" s="194"/>
      <c r="F3108" s="1216"/>
      <c r="G3108" s="1268" t="s">
        <v>2875</v>
      </c>
      <c r="H3108" s="1268"/>
      <c r="I3108" s="1268"/>
      <c r="J3108" s="1268"/>
      <c r="K3108" s="196">
        <v>1.07</v>
      </c>
      <c r="L3108" s="186"/>
      <c r="M3108" s="50"/>
      <c r="N3108" s="100"/>
      <c r="P3108" s="9"/>
      <c r="Q3108" s="34"/>
      <c r="R3108" s="5"/>
      <c r="S3108" s="35"/>
    </row>
    <row r="3109" spans="1:26" ht="30" customHeight="1" x14ac:dyDescent="0.35">
      <c r="A3109" s="186"/>
      <c r="B3109" s="186"/>
      <c r="C3109" s="503"/>
      <c r="D3109" s="503"/>
      <c r="E3109" s="503"/>
      <c r="F3109" s="503"/>
      <c r="G3109" s="503"/>
      <c r="H3109" s="503"/>
      <c r="I3109" s="503"/>
      <c r="J3109" s="186" t="s">
        <v>37</v>
      </c>
      <c r="K3109" s="193">
        <f>+K3106*K3107/K3108</f>
        <v>163.75976635514021</v>
      </c>
      <c r="L3109" s="186" t="s">
        <v>108</v>
      </c>
      <c r="M3109" s="50"/>
      <c r="N3109" s="50"/>
      <c r="O3109" s="5"/>
      <c r="P3109" s="9"/>
      <c r="Q3109" s="34"/>
      <c r="R3109" s="5"/>
      <c r="S3109" s="35"/>
    </row>
    <row r="3110" spans="1:26" ht="30" customHeight="1" thickBot="1" x14ac:dyDescent="0.4">
      <c r="A3110" s="186"/>
      <c r="B3110" s="186"/>
      <c r="C3110" s="503"/>
      <c r="D3110" s="503"/>
      <c r="E3110" s="503"/>
      <c r="F3110" s="503"/>
      <c r="G3110" s="1194" t="s">
        <v>257</v>
      </c>
      <c r="H3110" s="1195"/>
      <c r="I3110" s="1196"/>
      <c r="J3110" s="560">
        <f>VLOOKUP(B3102,'Mil Cost Premiums for PUCs'!$A$4:$R$285,18,FALSE)</f>
        <v>1.1345642417967394</v>
      </c>
      <c r="K3110" s="193">
        <f>+K3109*J3110</f>
        <v>185.79597515153085</v>
      </c>
      <c r="L3110" s="186" t="s">
        <v>108</v>
      </c>
      <c r="M3110" s="50"/>
      <c r="O3110" s="5"/>
      <c r="P3110" s="9"/>
      <c r="Q3110" s="34"/>
      <c r="R3110" s="5"/>
      <c r="S3110" s="35"/>
    </row>
    <row r="3111" spans="1:26" s="396" customFormat="1" ht="30" customHeight="1" thickBot="1" x14ac:dyDescent="0.4">
      <c r="A3111" s="1199"/>
      <c r="B3111" s="1200"/>
      <c r="C3111" s="1200"/>
      <c r="D3111" s="1200"/>
      <c r="E3111" s="1200"/>
      <c r="F3111" s="1200"/>
      <c r="G3111" s="1200"/>
      <c r="H3111" s="1200"/>
      <c r="I3111" s="1200"/>
      <c r="J3111" s="1200"/>
      <c r="K3111" s="1200"/>
      <c r="L3111" s="1201"/>
      <c r="M3111" s="11"/>
      <c r="N3111" s="50"/>
      <c r="O3111" s="36"/>
      <c r="P3111" s="9"/>
      <c r="Q3111" s="34"/>
      <c r="R3111" s="5"/>
      <c r="S3111" s="35"/>
      <c r="T3111" s="9"/>
      <c r="U3111" s="9"/>
      <c r="V3111" s="9"/>
      <c r="W3111" s="9"/>
      <c r="X3111" s="9"/>
      <c r="Y3111" s="9"/>
      <c r="Z3111" s="9"/>
    </row>
    <row r="3112" spans="1:26" ht="30" customHeight="1" x14ac:dyDescent="0.35">
      <c r="A3112" s="388" t="s">
        <v>1</v>
      </c>
      <c r="B3112" s="389">
        <v>7342</v>
      </c>
      <c r="C3112" s="1205" t="s">
        <v>1363</v>
      </c>
      <c r="D3112" s="1206"/>
      <c r="E3112" s="392" t="s">
        <v>3</v>
      </c>
      <c r="F3112" s="393" t="s">
        <v>108</v>
      </c>
      <c r="G3112" s="390" t="s">
        <v>38</v>
      </c>
      <c r="H3112" s="925">
        <v>3505</v>
      </c>
      <c r="I3112" s="392" t="s">
        <v>5</v>
      </c>
      <c r="J3112" s="1207" t="s">
        <v>2874</v>
      </c>
      <c r="K3112" s="1207"/>
      <c r="L3112" s="1208"/>
      <c r="M3112" s="50"/>
      <c r="N3112" s="50"/>
      <c r="O3112" s="14"/>
      <c r="P3112" s="9"/>
      <c r="Q3112" s="34"/>
      <c r="R3112" s="5"/>
      <c r="S3112" s="35"/>
    </row>
    <row r="3113" spans="1:26" ht="30" customHeight="1" x14ac:dyDescent="0.35">
      <c r="A3113" s="494" t="s">
        <v>187</v>
      </c>
      <c r="B3113" s="1280" t="s">
        <v>211</v>
      </c>
      <c r="C3113" s="1281"/>
      <c r="D3113" s="1282"/>
      <c r="E3113" s="566" t="s">
        <v>52</v>
      </c>
      <c r="F3113" s="566" t="s">
        <v>53</v>
      </c>
      <c r="G3113" s="1219" t="s">
        <v>54</v>
      </c>
      <c r="H3113" s="1220"/>
      <c r="I3113" s="185" t="s">
        <v>188</v>
      </c>
      <c r="J3113" s="185" t="s">
        <v>179</v>
      </c>
      <c r="K3113" s="1209" t="s">
        <v>180</v>
      </c>
      <c r="L3113" s="1210"/>
      <c r="M3113" s="50"/>
      <c r="N3113" s="50"/>
      <c r="O3113" s="14"/>
      <c r="P3113" s="9"/>
      <c r="Q3113" s="34"/>
      <c r="R3113" s="5"/>
      <c r="S3113" s="35"/>
    </row>
    <row r="3114" spans="1:26" ht="30" customHeight="1" x14ac:dyDescent="0.35">
      <c r="A3114" s="790" t="s">
        <v>1334</v>
      </c>
      <c r="B3114" s="1212" t="s">
        <v>1364</v>
      </c>
      <c r="C3114" s="1213"/>
      <c r="D3114" s="1214"/>
      <c r="E3114" s="194">
        <v>73</v>
      </c>
      <c r="F3114" s="422" t="s">
        <v>108</v>
      </c>
      <c r="G3114" s="707"/>
      <c r="H3114" s="708"/>
      <c r="I3114" s="186">
        <v>1.0900000000000001</v>
      </c>
      <c r="J3114" s="1022">
        <f>+'FY2024 MILCON Inflation Table'!$F$14</f>
        <v>1.4139446884504483</v>
      </c>
      <c r="K3114" s="194">
        <f>+E3114*I3114*J3114</f>
        <v>112.50757886000218</v>
      </c>
      <c r="L3114" s="186" t="s">
        <v>108</v>
      </c>
      <c r="M3114" s="50"/>
      <c r="N3114" s="50"/>
      <c r="O3114" s="5"/>
      <c r="P3114" s="9"/>
      <c r="Q3114" s="34"/>
      <c r="R3114" s="5"/>
      <c r="S3114" s="35"/>
    </row>
    <row r="3115" spans="1:26" ht="30" customHeight="1" x14ac:dyDescent="0.35">
      <c r="A3115" s="985" t="s">
        <v>274</v>
      </c>
      <c r="B3115" s="1202" t="s">
        <v>1365</v>
      </c>
      <c r="C3115" s="1203"/>
      <c r="D3115" s="1204"/>
      <c r="E3115" s="7">
        <v>30.5</v>
      </c>
      <c r="F3115" s="422" t="s">
        <v>108</v>
      </c>
      <c r="G3115" s="707"/>
      <c r="H3115" s="708"/>
      <c r="I3115" s="186">
        <v>1.0900000000000001</v>
      </c>
      <c r="J3115" s="186"/>
      <c r="K3115" s="194">
        <f>+E3115*I3115</f>
        <v>33.245000000000005</v>
      </c>
      <c r="L3115" s="186" t="s">
        <v>108</v>
      </c>
      <c r="M3115" s="50"/>
      <c r="N3115" s="50"/>
      <c r="O3115" s="5"/>
      <c r="P3115" s="9"/>
      <c r="Q3115" s="34"/>
      <c r="R3115" s="5"/>
      <c r="S3115" s="35"/>
      <c r="U3115" s="396"/>
    </row>
    <row r="3116" spans="1:26" ht="30" customHeight="1" x14ac:dyDescent="0.35">
      <c r="A3116" s="985" t="s">
        <v>274</v>
      </c>
      <c r="B3116" s="1212" t="s">
        <v>1366</v>
      </c>
      <c r="C3116" s="1213"/>
      <c r="D3116" s="1214"/>
      <c r="E3116" s="7">
        <f>+(16.3+22.25)/2</f>
        <v>19.274999999999999</v>
      </c>
      <c r="F3116" s="422" t="s">
        <v>108</v>
      </c>
      <c r="G3116" s="707"/>
      <c r="H3116" s="708"/>
      <c r="I3116" s="186">
        <v>1.0900000000000001</v>
      </c>
      <c r="J3116" s="186"/>
      <c r="K3116" s="194">
        <f>+E3116*I3116</f>
        <v>21.00975</v>
      </c>
      <c r="L3116" s="186" t="s">
        <v>108</v>
      </c>
      <c r="M3116" s="50"/>
      <c r="N3116" s="50"/>
      <c r="O3116" s="5"/>
      <c r="P3116" s="9"/>
      <c r="Q3116" s="34"/>
      <c r="R3116" s="5"/>
      <c r="S3116" s="35"/>
      <c r="X3116" s="665"/>
      <c r="Y3116" s="665"/>
      <c r="Z3116" s="665"/>
    </row>
    <row r="3117" spans="1:26" ht="30" customHeight="1" x14ac:dyDescent="0.35">
      <c r="A3117" s="985" t="s">
        <v>249</v>
      </c>
      <c r="B3117" s="1202" t="s">
        <v>1367</v>
      </c>
      <c r="C3117" s="1203"/>
      <c r="D3117" s="1204"/>
      <c r="E3117" s="194">
        <v>4.5599999999999996</v>
      </c>
      <c r="F3117" s="422" t="s">
        <v>108</v>
      </c>
      <c r="G3117" s="707"/>
      <c r="H3117" s="708"/>
      <c r="I3117" s="186">
        <v>1.0900000000000001</v>
      </c>
      <c r="J3117" s="186"/>
      <c r="K3117" s="194">
        <f>+E3117*I3117</f>
        <v>4.9703999999999997</v>
      </c>
      <c r="L3117" s="186" t="s">
        <v>108</v>
      </c>
      <c r="M3117" s="50"/>
      <c r="N3117" s="50"/>
      <c r="O3117" s="5"/>
      <c r="P3117" s="9"/>
      <c r="Q3117" s="34"/>
      <c r="R3117" s="5"/>
      <c r="S3117" s="35"/>
      <c r="V3117" s="396"/>
      <c r="W3117" s="396"/>
    </row>
    <row r="3118" spans="1:26" ht="30" customHeight="1" x14ac:dyDescent="0.35">
      <c r="A3118" s="186"/>
      <c r="B3118" s="1211"/>
      <c r="C3118" s="1211"/>
      <c r="D3118" s="1211"/>
      <c r="E3118" s="194"/>
      <c r="F3118" s="186"/>
      <c r="G3118" s="186"/>
      <c r="H3118" s="186"/>
      <c r="I3118" s="186"/>
      <c r="J3118" s="186" t="s">
        <v>223</v>
      </c>
      <c r="K3118" s="194">
        <f>SUM(K3114:K3117)</f>
        <v>171.7327288600022</v>
      </c>
      <c r="L3118" s="186" t="s">
        <v>108</v>
      </c>
      <c r="M3118" s="50"/>
      <c r="N3118" s="50"/>
      <c r="O3118" s="5"/>
      <c r="P3118" s="384"/>
      <c r="Q3118" s="396"/>
      <c r="R3118" s="396"/>
      <c r="S3118" s="396"/>
      <c r="T3118" s="396"/>
      <c r="U3118" s="53"/>
    </row>
    <row r="3119" spans="1:26" s="665" customFormat="1" ht="30" customHeight="1" x14ac:dyDescent="0.35">
      <c r="A3119" s="186"/>
      <c r="B3119" s="567"/>
      <c r="C3119" s="567"/>
      <c r="D3119" s="567"/>
      <c r="E3119" s="194"/>
      <c r="F3119" s="1215" t="s">
        <v>195</v>
      </c>
      <c r="G3119" s="1273" t="s">
        <v>196</v>
      </c>
      <c r="H3119" s="1273"/>
      <c r="I3119" s="1273"/>
      <c r="J3119" s="1273"/>
      <c r="K3119" s="196">
        <v>1.05</v>
      </c>
      <c r="L3119" s="186"/>
      <c r="M3119" s="50"/>
      <c r="N3119" s="50"/>
      <c r="O3119" s="5"/>
      <c r="P3119" s="14"/>
      <c r="Q3119" s="9"/>
      <c r="R3119" s="9"/>
      <c r="S3119" s="9"/>
      <c r="T3119" s="9"/>
      <c r="U3119" s="10"/>
      <c r="V3119" s="9"/>
      <c r="W3119" s="9"/>
      <c r="X3119" s="9"/>
      <c r="Y3119" s="9"/>
      <c r="Z3119" s="9"/>
    </row>
    <row r="3120" spans="1:26" ht="30" customHeight="1" x14ac:dyDescent="0.35">
      <c r="A3120" s="186"/>
      <c r="B3120" s="567"/>
      <c r="C3120" s="567"/>
      <c r="D3120" s="567"/>
      <c r="E3120" s="194"/>
      <c r="F3120" s="1216"/>
      <c r="G3120" s="1491" t="s">
        <v>2875</v>
      </c>
      <c r="H3120" s="1413"/>
      <c r="I3120" s="1413"/>
      <c r="J3120" s="1414"/>
      <c r="K3120" s="196">
        <v>1.07</v>
      </c>
      <c r="L3120" s="186"/>
      <c r="M3120" s="50"/>
      <c r="N3120" s="50"/>
      <c r="O3120" s="5"/>
    </row>
    <row r="3121" spans="1:20" ht="30" customHeight="1" x14ac:dyDescent="0.35">
      <c r="A3121" s="186"/>
      <c r="B3121" s="186"/>
      <c r="C3121" s="503"/>
      <c r="D3121" s="503"/>
      <c r="E3121" s="503"/>
      <c r="F3121" s="503"/>
      <c r="G3121" s="503"/>
      <c r="H3121" s="503"/>
      <c r="I3121" s="503"/>
      <c r="J3121" s="186" t="s">
        <v>37</v>
      </c>
      <c r="K3121" s="193">
        <f>+K3118*K3119/K3120</f>
        <v>168.5227713112171</v>
      </c>
      <c r="L3121" s="186" t="s">
        <v>108</v>
      </c>
      <c r="M3121" s="50"/>
      <c r="N3121" s="50"/>
      <c r="O3121" s="5"/>
      <c r="T3121" s="53"/>
    </row>
    <row r="3122" spans="1:20" ht="30" customHeight="1" thickBot="1" x14ac:dyDescent="0.4">
      <c r="A3122" s="186"/>
      <c r="B3122" s="186"/>
      <c r="C3122" s="503"/>
      <c r="D3122" s="503"/>
      <c r="E3122" s="503"/>
      <c r="F3122" s="503"/>
      <c r="G3122" s="1194" t="s">
        <v>257</v>
      </c>
      <c r="H3122" s="1195"/>
      <c r="I3122" s="1196"/>
      <c r="J3122" s="560">
        <f>VLOOKUP(B3112,'Mil Cost Premiums for PUCs'!$A$4:$R$285,18,FALSE)</f>
        <v>1.1113659853696505</v>
      </c>
      <c r="K3122" s="193">
        <f>+K3121*J3122</f>
        <v>187.29047579551505</v>
      </c>
      <c r="L3122" s="186" t="s">
        <v>108</v>
      </c>
      <c r="M3122" s="50"/>
      <c r="N3122" s="50"/>
      <c r="O3122" s="5"/>
      <c r="T3122" s="10"/>
    </row>
    <row r="3123" spans="1:20" ht="30" customHeight="1" thickBot="1" x14ac:dyDescent="0.4">
      <c r="A3123" s="1199"/>
      <c r="B3123" s="1200"/>
      <c r="C3123" s="1200"/>
      <c r="D3123" s="1200"/>
      <c r="E3123" s="1200"/>
      <c r="F3123" s="1200"/>
      <c r="G3123" s="1200"/>
      <c r="H3123" s="1200"/>
      <c r="I3123" s="1200"/>
      <c r="J3123" s="1200"/>
      <c r="K3123" s="1200"/>
      <c r="L3123" s="1201"/>
      <c r="N3123" s="50"/>
    </row>
    <row r="3124" spans="1:20" ht="30" customHeight="1" x14ac:dyDescent="0.35">
      <c r="A3124" s="388" t="s">
        <v>1</v>
      </c>
      <c r="B3124" s="389">
        <v>7343</v>
      </c>
      <c r="C3124" s="1345" t="s">
        <v>1368</v>
      </c>
      <c r="D3124" s="1346"/>
      <c r="E3124" s="392" t="s">
        <v>3</v>
      </c>
      <c r="F3124" s="393" t="s">
        <v>108</v>
      </c>
      <c r="G3124" s="390" t="s">
        <v>38</v>
      </c>
      <c r="H3124" s="391">
        <v>7927</v>
      </c>
      <c r="I3124" s="392" t="s">
        <v>5</v>
      </c>
      <c r="J3124" s="1304" t="s">
        <v>1369</v>
      </c>
      <c r="K3124" s="1305"/>
      <c r="L3124" s="1306"/>
      <c r="M3124" s="97"/>
      <c r="N3124" s="50"/>
      <c r="O3124" s="5"/>
      <c r="P3124" s="9"/>
      <c r="Q3124" s="34"/>
      <c r="R3124" s="5"/>
      <c r="S3124" s="35"/>
    </row>
    <row r="3125" spans="1:20" ht="30" customHeight="1" x14ac:dyDescent="0.35">
      <c r="A3125" s="185"/>
      <c r="B3125" s="1272" t="s">
        <v>7</v>
      </c>
      <c r="C3125" s="1272"/>
      <c r="D3125" s="1272"/>
      <c r="E3125" s="185" t="s">
        <v>52</v>
      </c>
      <c r="F3125" s="185" t="s">
        <v>53</v>
      </c>
      <c r="G3125" s="1219" t="s">
        <v>54</v>
      </c>
      <c r="H3125" s="1220"/>
      <c r="I3125" s="185" t="s">
        <v>55</v>
      </c>
      <c r="J3125" s="185" t="s">
        <v>56</v>
      </c>
      <c r="K3125" s="1209" t="s">
        <v>37</v>
      </c>
      <c r="L3125" s="1210"/>
      <c r="M3125" s="97"/>
      <c r="N3125" s="50"/>
      <c r="O3125" s="5"/>
      <c r="P3125" s="9"/>
      <c r="Q3125" s="34"/>
      <c r="R3125" s="5"/>
      <c r="S3125" s="35"/>
    </row>
    <row r="3126" spans="1:20" ht="30" customHeight="1" thickBot="1" x14ac:dyDescent="0.4">
      <c r="A3126" s="407"/>
      <c r="B3126" s="1446" t="str">
        <f>C3152</f>
        <v>Exchange Sales Facility</v>
      </c>
      <c r="C3126" s="1446"/>
      <c r="D3126" s="1446"/>
      <c r="E3126" s="713">
        <f>+K3164</f>
        <v>164.92914260956411</v>
      </c>
      <c r="F3126" s="188"/>
      <c r="G3126" s="1332"/>
      <c r="H3126" s="1333"/>
      <c r="I3126" s="188"/>
      <c r="J3126" s="470"/>
      <c r="K3126" s="471">
        <f>E3126</f>
        <v>164.92914260956411</v>
      </c>
      <c r="L3126" s="188" t="s">
        <v>108</v>
      </c>
      <c r="M3126" s="50"/>
      <c r="N3126" s="50"/>
      <c r="O3126" s="5"/>
      <c r="P3126" s="9"/>
      <c r="Q3126" s="34"/>
      <c r="R3126" s="5"/>
      <c r="S3126" s="35"/>
    </row>
    <row r="3127" spans="1:20" ht="30" customHeight="1" thickBot="1" x14ac:dyDescent="0.4">
      <c r="A3127" s="1199"/>
      <c r="B3127" s="1200"/>
      <c r="C3127" s="1200"/>
      <c r="D3127" s="1200"/>
      <c r="E3127" s="1200"/>
      <c r="F3127" s="1200"/>
      <c r="G3127" s="1200"/>
      <c r="H3127" s="1200"/>
      <c r="I3127" s="1200"/>
      <c r="J3127" s="1200"/>
      <c r="K3127" s="1200"/>
      <c r="L3127" s="1201"/>
      <c r="M3127" s="50"/>
      <c r="N3127" s="50"/>
      <c r="O3127" s="5"/>
      <c r="P3127" s="9"/>
      <c r="Q3127" s="34"/>
      <c r="R3127" s="5"/>
      <c r="S3127" s="35"/>
    </row>
    <row r="3128" spans="1:20" ht="30" customHeight="1" x14ac:dyDescent="0.35">
      <c r="A3128" s="388" t="s">
        <v>1</v>
      </c>
      <c r="B3128" s="389">
        <v>7344</v>
      </c>
      <c r="C3128" s="1205" t="s">
        <v>1370</v>
      </c>
      <c r="D3128" s="1206"/>
      <c r="E3128" s="392" t="s">
        <v>3</v>
      </c>
      <c r="F3128" s="393" t="s">
        <v>108</v>
      </c>
      <c r="G3128" s="390" t="s">
        <v>38</v>
      </c>
      <c r="H3128" s="132">
        <v>5944.4151333333302</v>
      </c>
      <c r="I3128" s="392" t="s">
        <v>5</v>
      </c>
      <c r="J3128" s="1207" t="s">
        <v>2481</v>
      </c>
      <c r="K3128" s="1207"/>
      <c r="L3128" s="1208"/>
      <c r="M3128" s="50"/>
      <c r="N3128" s="50"/>
      <c r="O3128" s="5"/>
      <c r="P3128" s="9"/>
      <c r="Q3128" s="34"/>
      <c r="R3128" s="5"/>
      <c r="S3128" s="35"/>
    </row>
    <row r="3129" spans="1:20" ht="30" customHeight="1" x14ac:dyDescent="0.35">
      <c r="A3129" s="494" t="s">
        <v>187</v>
      </c>
      <c r="B3129" s="1280" t="s">
        <v>211</v>
      </c>
      <c r="C3129" s="1281"/>
      <c r="D3129" s="1282"/>
      <c r="E3129" s="566" t="s">
        <v>52</v>
      </c>
      <c r="F3129" s="566" t="s">
        <v>53</v>
      </c>
      <c r="G3129" s="1219" t="s">
        <v>54</v>
      </c>
      <c r="H3129" s="1220"/>
      <c r="I3129" s="185" t="s">
        <v>1051</v>
      </c>
      <c r="J3129" s="185" t="s">
        <v>188</v>
      </c>
      <c r="K3129" s="1209" t="s">
        <v>180</v>
      </c>
      <c r="L3129" s="1210"/>
      <c r="M3129" s="50"/>
      <c r="N3129" s="50"/>
      <c r="O3129" s="572"/>
      <c r="P3129" s="9"/>
      <c r="Q3129" s="34"/>
      <c r="R3129" s="5"/>
      <c r="S3129" s="35"/>
    </row>
    <row r="3130" spans="1:20" ht="30" customHeight="1" x14ac:dyDescent="0.35">
      <c r="A3130" s="790" t="s">
        <v>1371</v>
      </c>
      <c r="B3130" s="1202" t="s">
        <v>1372</v>
      </c>
      <c r="C3130" s="1203"/>
      <c r="D3130" s="1204"/>
      <c r="E3130" s="194">
        <v>177</v>
      </c>
      <c r="F3130" s="422" t="s">
        <v>108</v>
      </c>
      <c r="G3130" s="707"/>
      <c r="H3130" s="708"/>
      <c r="I3130" s="278"/>
      <c r="J3130" s="186">
        <v>1.1200000000000001</v>
      </c>
      <c r="K3130" s="194">
        <f>+E3130*J3130</f>
        <v>198.24</v>
      </c>
      <c r="L3130" s="186" t="s">
        <v>108</v>
      </c>
      <c r="M3130" s="50"/>
      <c r="N3130" s="50"/>
      <c r="P3130" s="9"/>
      <c r="Q3130" s="34"/>
      <c r="R3130" s="5"/>
      <c r="S3130" s="35"/>
    </row>
    <row r="3131" spans="1:20" ht="30" customHeight="1" x14ac:dyDescent="0.35">
      <c r="A3131" s="985" t="s">
        <v>249</v>
      </c>
      <c r="B3131" s="1202" t="s">
        <v>940</v>
      </c>
      <c r="C3131" s="1203"/>
      <c r="D3131" s="1204"/>
      <c r="E3131" s="194">
        <v>4.5599999999999996</v>
      </c>
      <c r="F3131" s="422" t="s">
        <v>108</v>
      </c>
      <c r="G3131" s="707"/>
      <c r="H3131" s="708"/>
      <c r="I3131" s="278"/>
      <c r="J3131" s="186">
        <v>1.1200000000000001</v>
      </c>
      <c r="K3131" s="194">
        <f>+E3131*J3131</f>
        <v>5.1071999999999997</v>
      </c>
      <c r="L3131" s="186" t="s">
        <v>108</v>
      </c>
      <c r="M3131" s="50"/>
      <c r="N3131" s="50"/>
      <c r="O3131" s="472"/>
      <c r="P3131" s="9"/>
      <c r="Q3131" s="34"/>
      <c r="R3131" s="5"/>
      <c r="S3131" s="35"/>
    </row>
    <row r="3132" spans="1:20" ht="30" customHeight="1" x14ac:dyDescent="0.35">
      <c r="A3132" s="989" t="s">
        <v>274</v>
      </c>
      <c r="B3132" s="1369" t="s">
        <v>2515</v>
      </c>
      <c r="C3132" s="1370"/>
      <c r="D3132" s="1371"/>
      <c r="E3132" s="279">
        <v>30.5</v>
      </c>
      <c r="F3132" s="422" t="s">
        <v>108</v>
      </c>
      <c r="G3132" s="707">
        <v>200</v>
      </c>
      <c r="H3132" s="708" t="s">
        <v>2516</v>
      </c>
      <c r="I3132" s="1026">
        <f>+E3132*G3132/H3128</f>
        <v>1.0261732841964935</v>
      </c>
      <c r="J3132" s="186">
        <v>1.1200000000000001</v>
      </c>
      <c r="K3132" s="279">
        <f>+I3132*J3132</f>
        <v>1.1493140783000728</v>
      </c>
      <c r="L3132" s="186" t="s">
        <v>108</v>
      </c>
      <c r="M3132" s="50"/>
      <c r="N3132" s="50"/>
      <c r="O3132" s="5"/>
      <c r="P3132" s="9"/>
      <c r="Q3132" s="34"/>
      <c r="R3132" s="5"/>
      <c r="S3132" s="35"/>
    </row>
    <row r="3133" spans="1:20" ht="30" customHeight="1" x14ac:dyDescent="0.35">
      <c r="A3133" s="186" t="s">
        <v>268</v>
      </c>
      <c r="B3133" s="1212" t="s">
        <v>2501</v>
      </c>
      <c r="C3133" s="1213"/>
      <c r="D3133" s="1214"/>
      <c r="E3133" s="194">
        <f>(24+37.25)/2</f>
        <v>30.625</v>
      </c>
      <c r="F3133" s="127" t="s">
        <v>108</v>
      </c>
      <c r="G3133" s="117">
        <f>120*2</f>
        <v>240</v>
      </c>
      <c r="H3133" s="554" t="s">
        <v>275</v>
      </c>
      <c r="I3133" s="141">
        <f>+E3133*G3133/H3128</f>
        <v>1.2364546948924962</v>
      </c>
      <c r="J3133" s="186">
        <v>1.22</v>
      </c>
      <c r="K3133" s="7">
        <f>+I3133*J3133</f>
        <v>1.5084747277688453</v>
      </c>
      <c r="L3133" s="186" t="s">
        <v>108</v>
      </c>
      <c r="M3133" s="50"/>
      <c r="N3133" s="50"/>
      <c r="O3133" s="5"/>
      <c r="P3133" s="9"/>
      <c r="Q3133" s="34"/>
      <c r="R3133" s="5"/>
      <c r="S3133" s="35"/>
    </row>
    <row r="3134" spans="1:20" ht="30" customHeight="1" x14ac:dyDescent="0.35">
      <c r="A3134" s="186" t="s">
        <v>268</v>
      </c>
      <c r="B3134" s="1212" t="s">
        <v>2502</v>
      </c>
      <c r="C3134" s="1213"/>
      <c r="D3134" s="1214"/>
      <c r="E3134" s="194">
        <f>(2020+2850)/2</f>
        <v>2435</v>
      </c>
      <c r="F3134" s="127" t="s">
        <v>40</v>
      </c>
      <c r="G3134" s="117"/>
      <c r="H3134" s="554"/>
      <c r="I3134" s="141">
        <f>2*E3134/H3128</f>
        <v>0.81925637607162671</v>
      </c>
      <c r="J3134" s="186">
        <v>1.22</v>
      </c>
      <c r="K3134" s="7">
        <f>+I3134*J3134</f>
        <v>0.99949277880738452</v>
      </c>
      <c r="L3134" s="186" t="s">
        <v>108</v>
      </c>
      <c r="M3134" s="50"/>
      <c r="N3134" s="50"/>
      <c r="O3134" s="5"/>
      <c r="P3134" s="9"/>
      <c r="Q3134" s="34"/>
      <c r="R3134" s="5"/>
      <c r="S3134" s="35"/>
    </row>
    <row r="3135" spans="1:20" ht="30" customHeight="1" x14ac:dyDescent="0.35">
      <c r="A3135" s="186"/>
      <c r="B3135" s="1211"/>
      <c r="C3135" s="1211"/>
      <c r="D3135" s="1211"/>
      <c r="E3135" s="194"/>
      <c r="F3135" s="186"/>
      <c r="G3135" s="186"/>
      <c r="H3135" s="186"/>
      <c r="I3135" s="186"/>
      <c r="J3135" s="186" t="s">
        <v>223</v>
      </c>
      <c r="K3135" s="194">
        <f>SUM(K3130:K3134)</f>
        <v>207.00448158487634</v>
      </c>
      <c r="L3135" s="186" t="s">
        <v>108</v>
      </c>
      <c r="M3135" s="50"/>
      <c r="N3135" s="50"/>
      <c r="O3135" s="5"/>
      <c r="P3135" s="9"/>
      <c r="Q3135" s="34"/>
      <c r="R3135" s="5"/>
      <c r="S3135" s="35"/>
    </row>
    <row r="3136" spans="1:20" ht="30" customHeight="1" x14ac:dyDescent="0.35">
      <c r="A3136" s="186"/>
      <c r="B3136" s="567"/>
      <c r="C3136" s="567"/>
      <c r="D3136" s="567"/>
      <c r="E3136" s="194"/>
      <c r="F3136" s="1215" t="s">
        <v>195</v>
      </c>
      <c r="G3136" s="1273" t="s">
        <v>196</v>
      </c>
      <c r="H3136" s="1273"/>
      <c r="I3136" s="1273"/>
      <c r="J3136" s="1273"/>
      <c r="K3136" s="196">
        <v>1.06</v>
      </c>
      <c r="L3136" s="186"/>
      <c r="M3136" s="50"/>
      <c r="N3136" s="50"/>
      <c r="O3136" s="5"/>
      <c r="P3136" s="9"/>
      <c r="Q3136" s="34"/>
      <c r="R3136" s="5"/>
      <c r="S3136" s="35"/>
    </row>
    <row r="3137" spans="1:23" ht="30" customHeight="1" x14ac:dyDescent="0.35">
      <c r="A3137" s="186"/>
      <c r="B3137" s="567"/>
      <c r="C3137" s="567"/>
      <c r="D3137" s="567"/>
      <c r="E3137" s="194"/>
      <c r="F3137" s="1216"/>
      <c r="G3137" s="1491" t="s">
        <v>2477</v>
      </c>
      <c r="H3137" s="1413"/>
      <c r="I3137" s="1413"/>
      <c r="J3137" s="1414"/>
      <c r="K3137" s="196">
        <v>1.05</v>
      </c>
      <c r="L3137" s="186"/>
      <c r="M3137" s="50"/>
      <c r="N3137" s="50"/>
      <c r="O3137" s="5"/>
      <c r="P3137" s="9"/>
      <c r="Q3137" s="34"/>
      <c r="R3137" s="5"/>
      <c r="S3137" s="35"/>
    </row>
    <row r="3138" spans="1:23" ht="30" customHeight="1" x14ac:dyDescent="0.35">
      <c r="A3138" s="186"/>
      <c r="B3138" s="186"/>
      <c r="C3138" s="503"/>
      <c r="D3138" s="503"/>
      <c r="E3138" s="503"/>
      <c r="F3138" s="503"/>
      <c r="G3138" s="503"/>
      <c r="H3138" s="503"/>
      <c r="I3138" s="503"/>
      <c r="J3138" s="186" t="s">
        <v>37</v>
      </c>
      <c r="K3138" s="193">
        <f>+K3135*K3136/K3137</f>
        <v>208.97595283806564</v>
      </c>
      <c r="L3138" s="186" t="s">
        <v>108</v>
      </c>
      <c r="M3138" s="50"/>
      <c r="N3138" s="50"/>
      <c r="O3138" s="5"/>
      <c r="P3138" s="9"/>
      <c r="Q3138" s="34"/>
      <c r="R3138" s="5"/>
      <c r="S3138" s="35"/>
      <c r="U3138" s="10"/>
    </row>
    <row r="3139" spans="1:23" ht="30" customHeight="1" x14ac:dyDescent="0.35">
      <c r="A3139" s="186"/>
      <c r="B3139" s="186"/>
      <c r="C3139" s="503"/>
      <c r="D3139" s="503"/>
      <c r="E3139" s="503"/>
      <c r="F3139" s="503"/>
      <c r="G3139" s="1364" t="s">
        <v>257</v>
      </c>
      <c r="H3139" s="1364"/>
      <c r="I3139" s="1364"/>
      <c r="J3139" s="560">
        <f>VLOOKUP(B3128,'Mil Cost Premiums for PUCs'!$A$4:$R$285,18,FALSE)</f>
        <v>1.3319480854780448</v>
      </c>
      <c r="K3139" s="193">
        <f>+K3138*J3139</f>
        <v>278.34512029361173</v>
      </c>
      <c r="L3139" s="186" t="s">
        <v>108</v>
      </c>
      <c r="M3139" s="50"/>
      <c r="N3139" s="50"/>
      <c r="O3139" s="5"/>
      <c r="U3139" s="10"/>
    </row>
    <row r="3140" spans="1:23" ht="30" customHeight="1" thickBot="1" x14ac:dyDescent="0.4">
      <c r="A3140" s="186"/>
      <c r="B3140" s="186"/>
      <c r="C3140" s="503"/>
      <c r="D3140" s="503"/>
      <c r="E3140" s="503"/>
      <c r="F3140" s="503"/>
      <c r="G3140" s="1497" t="s">
        <v>3000</v>
      </c>
      <c r="H3140" s="1498"/>
      <c r="I3140" s="1499"/>
      <c r="J3140" s="560">
        <v>1.0438745311870361</v>
      </c>
      <c r="K3140" s="193">
        <f>+K3139*J3140</f>
        <v>290.55738195469308</v>
      </c>
      <c r="L3140" s="186" t="s">
        <v>108</v>
      </c>
      <c r="M3140" s="50"/>
      <c r="N3140" s="50"/>
      <c r="O3140" s="5"/>
      <c r="T3140" s="53"/>
    </row>
    <row r="3141" spans="1:23" ht="30" customHeight="1" thickBot="1" x14ac:dyDescent="0.4">
      <c r="A3141" s="1199"/>
      <c r="B3141" s="1200"/>
      <c r="C3141" s="1200"/>
      <c r="D3141" s="1200"/>
      <c r="E3141" s="1200"/>
      <c r="F3141" s="1200"/>
      <c r="G3141" s="1200"/>
      <c r="H3141" s="1200"/>
      <c r="I3141" s="1200"/>
      <c r="J3141" s="1200"/>
      <c r="K3141" s="1200"/>
      <c r="L3141" s="1201"/>
      <c r="M3141" s="50"/>
      <c r="N3141" s="50"/>
      <c r="O3141" s="5"/>
      <c r="P3141" s="9"/>
      <c r="Q3141" s="34"/>
      <c r="R3141" s="5"/>
      <c r="S3141" s="35"/>
      <c r="U3141" s="396"/>
    </row>
    <row r="3142" spans="1:23" ht="30" customHeight="1" x14ac:dyDescent="0.35">
      <c r="A3142" s="455" t="s">
        <v>1</v>
      </c>
      <c r="B3142" s="439">
        <v>7345</v>
      </c>
      <c r="C3142" s="1384" t="s">
        <v>1373</v>
      </c>
      <c r="D3142" s="1385"/>
      <c r="E3142" s="456" t="s">
        <v>3</v>
      </c>
      <c r="F3142" s="457" t="s">
        <v>108</v>
      </c>
      <c r="G3142" s="468" t="s">
        <v>38</v>
      </c>
      <c r="H3142" s="1027">
        <v>4346</v>
      </c>
      <c r="I3142" s="456" t="s">
        <v>5</v>
      </c>
      <c r="J3142" s="1466" t="s">
        <v>2874</v>
      </c>
      <c r="K3142" s="1466"/>
      <c r="L3142" s="1466"/>
      <c r="M3142" s="50"/>
      <c r="N3142" s="50"/>
      <c r="O3142" s="5"/>
      <c r="T3142" s="10"/>
    </row>
    <row r="3143" spans="1:23" ht="30" customHeight="1" x14ac:dyDescent="0.35">
      <c r="A3143" s="494" t="s">
        <v>187</v>
      </c>
      <c r="B3143" s="1280" t="s">
        <v>211</v>
      </c>
      <c r="C3143" s="1281"/>
      <c r="D3143" s="1282"/>
      <c r="E3143" s="566" t="s">
        <v>52</v>
      </c>
      <c r="F3143" s="566" t="s">
        <v>53</v>
      </c>
      <c r="G3143" s="1294" t="s">
        <v>54</v>
      </c>
      <c r="H3143" s="1294"/>
      <c r="I3143" s="446" t="s">
        <v>188</v>
      </c>
      <c r="J3143" s="446"/>
      <c r="K3143" s="448" t="s">
        <v>180</v>
      </c>
      <c r="L3143" s="448"/>
      <c r="M3143" s="53"/>
      <c r="N3143" s="50"/>
    </row>
    <row r="3144" spans="1:23" ht="30" customHeight="1" x14ac:dyDescent="0.35">
      <c r="A3144" s="790" t="s">
        <v>1374</v>
      </c>
      <c r="B3144" s="1202" t="s">
        <v>1375</v>
      </c>
      <c r="C3144" s="1203"/>
      <c r="D3144" s="1204"/>
      <c r="E3144" s="194">
        <v>163</v>
      </c>
      <c r="F3144" s="422" t="s">
        <v>108</v>
      </c>
      <c r="G3144" s="271"/>
      <c r="H3144" s="271"/>
      <c r="I3144" s="271">
        <v>1.1000000000000001</v>
      </c>
      <c r="J3144" s="271"/>
      <c r="K3144" s="279">
        <f>+E3144*I3144</f>
        <v>179.3</v>
      </c>
      <c r="L3144" s="271" t="s">
        <v>108</v>
      </c>
      <c r="M3144" s="53"/>
      <c r="N3144" s="50"/>
      <c r="O3144" s="5"/>
      <c r="T3144" s="10"/>
    </row>
    <row r="3145" spans="1:23" ht="30" customHeight="1" x14ac:dyDescent="0.35">
      <c r="A3145" s="985" t="s">
        <v>249</v>
      </c>
      <c r="B3145" s="1202" t="s">
        <v>940</v>
      </c>
      <c r="C3145" s="1203"/>
      <c r="D3145" s="1204"/>
      <c r="E3145" s="194">
        <v>4.5599999999999996</v>
      </c>
      <c r="F3145" s="422" t="s">
        <v>108</v>
      </c>
      <c r="G3145" s="271"/>
      <c r="H3145" s="271"/>
      <c r="I3145" s="271">
        <v>1.0900000000000001</v>
      </c>
      <c r="J3145" s="271"/>
      <c r="K3145" s="279">
        <f>+E3145*I3145</f>
        <v>4.9703999999999997</v>
      </c>
      <c r="L3145" s="271" t="s">
        <v>108</v>
      </c>
      <c r="M3145" s="509"/>
      <c r="O3145" s="15"/>
      <c r="P3145" s="384"/>
      <c r="Q3145" s="396"/>
      <c r="R3145" s="396"/>
      <c r="S3145" s="396"/>
      <c r="T3145" s="396"/>
    </row>
    <row r="3146" spans="1:23" ht="30" customHeight="1" x14ac:dyDescent="0.35">
      <c r="A3146" s="186"/>
      <c r="B3146" s="1211"/>
      <c r="C3146" s="1211"/>
      <c r="D3146" s="1211"/>
      <c r="E3146" s="194"/>
      <c r="F3146" s="186"/>
      <c r="G3146" s="271"/>
      <c r="H3146" s="271"/>
      <c r="I3146" s="271"/>
      <c r="J3146" s="271" t="s">
        <v>223</v>
      </c>
      <c r="K3146" s="279">
        <f>SUM(K3144:K3145)</f>
        <v>184.27040000000002</v>
      </c>
      <c r="L3146" s="271" t="s">
        <v>108</v>
      </c>
      <c r="M3146" s="53"/>
      <c r="O3146" s="5"/>
      <c r="P3146" s="9"/>
      <c r="Q3146" s="34"/>
      <c r="R3146" s="5"/>
      <c r="S3146" s="35"/>
      <c r="U3146" s="665"/>
      <c r="V3146" s="665"/>
      <c r="W3146" s="665"/>
    </row>
    <row r="3147" spans="1:23" ht="30" customHeight="1" x14ac:dyDescent="0.35">
      <c r="A3147" s="186"/>
      <c r="B3147" s="567"/>
      <c r="C3147" s="567"/>
      <c r="D3147" s="567"/>
      <c r="E3147" s="194"/>
      <c r="F3147" s="1215" t="s">
        <v>195</v>
      </c>
      <c r="G3147" s="1802" t="s">
        <v>196</v>
      </c>
      <c r="H3147" s="1802"/>
      <c r="I3147" s="1802"/>
      <c r="J3147" s="1802"/>
      <c r="K3147" s="1028">
        <v>1.05</v>
      </c>
      <c r="L3147" s="271"/>
      <c r="M3147" s="53"/>
      <c r="N3147" s="50"/>
      <c r="O3147" s="665"/>
      <c r="P3147" s="665"/>
      <c r="Q3147" s="853"/>
      <c r="R3147" s="665"/>
      <c r="S3147" s="665"/>
      <c r="T3147" s="665"/>
    </row>
    <row r="3148" spans="1:23" ht="30" customHeight="1" x14ac:dyDescent="0.35">
      <c r="A3148" s="186"/>
      <c r="B3148" s="567"/>
      <c r="C3148" s="567"/>
      <c r="D3148" s="567"/>
      <c r="E3148" s="194"/>
      <c r="F3148" s="1216"/>
      <c r="G3148" s="1491" t="s">
        <v>2875</v>
      </c>
      <c r="H3148" s="1413"/>
      <c r="I3148" s="1413"/>
      <c r="J3148" s="1414"/>
      <c r="K3148" s="196">
        <v>1.07</v>
      </c>
      <c r="L3148" s="186"/>
      <c r="M3148" s="50"/>
      <c r="N3148" s="50"/>
      <c r="O3148" s="5"/>
      <c r="P3148" s="9"/>
      <c r="Q3148" s="34"/>
      <c r="R3148" s="5"/>
      <c r="S3148" s="35"/>
    </row>
    <row r="3149" spans="1:23" ht="30" customHeight="1" x14ac:dyDescent="0.35">
      <c r="A3149" s="186"/>
      <c r="B3149" s="186"/>
      <c r="C3149" s="503"/>
      <c r="D3149" s="503"/>
      <c r="E3149" s="503"/>
      <c r="F3149" s="503"/>
      <c r="G3149" s="503"/>
      <c r="H3149" s="503"/>
      <c r="I3149" s="503"/>
      <c r="J3149" s="186" t="s">
        <v>37</v>
      </c>
      <c r="K3149" s="193">
        <f>+K3146*K3147/K3148</f>
        <v>180.82609345794395</v>
      </c>
      <c r="L3149" s="186" t="s">
        <v>108</v>
      </c>
      <c r="M3149" s="50"/>
      <c r="N3149" s="50"/>
      <c r="O3149" s="5"/>
      <c r="P3149" s="9"/>
      <c r="Q3149" s="34"/>
      <c r="R3149" s="5"/>
      <c r="S3149" s="35"/>
    </row>
    <row r="3150" spans="1:23" ht="30" customHeight="1" thickBot="1" x14ac:dyDescent="0.4">
      <c r="A3150" s="186"/>
      <c r="B3150" s="186"/>
      <c r="C3150" s="503"/>
      <c r="D3150" s="503"/>
      <c r="E3150" s="503"/>
      <c r="F3150" s="503"/>
      <c r="G3150" s="1194" t="s">
        <v>257</v>
      </c>
      <c r="H3150" s="1195"/>
      <c r="I3150" s="1196"/>
      <c r="J3150" s="560">
        <f>VLOOKUP(B3142,'Mil Cost Premiums for PUCs'!$A$4:$R$285,18,FALSE)</f>
        <v>1.1651974763252515</v>
      </c>
      <c r="K3150" s="193">
        <f>+K3149*J3150</f>
        <v>210.69810775095036</v>
      </c>
      <c r="L3150" s="186" t="s">
        <v>108</v>
      </c>
      <c r="M3150" s="50"/>
      <c r="N3150" s="50"/>
      <c r="P3150" s="9"/>
      <c r="Q3150" s="34"/>
      <c r="R3150" s="5"/>
      <c r="S3150" s="35"/>
    </row>
    <row r="3151" spans="1:23" ht="30" customHeight="1" thickBot="1" x14ac:dyDescent="0.4">
      <c r="A3151" s="1199"/>
      <c r="B3151" s="1200"/>
      <c r="C3151" s="1200"/>
      <c r="D3151" s="1200"/>
      <c r="E3151" s="1200"/>
      <c r="F3151" s="1200"/>
      <c r="G3151" s="1200"/>
      <c r="H3151" s="1200"/>
      <c r="I3151" s="1200"/>
      <c r="J3151" s="1200"/>
      <c r="K3151" s="1200"/>
      <c r="L3151" s="1201"/>
      <c r="N3151" s="50"/>
      <c r="P3151" s="9"/>
      <c r="Q3151" s="34"/>
      <c r="R3151" s="5"/>
      <c r="S3151" s="35"/>
    </row>
    <row r="3152" spans="1:23" ht="30" customHeight="1" x14ac:dyDescent="0.35">
      <c r="A3152" s="388" t="s">
        <v>1</v>
      </c>
      <c r="B3152" s="389">
        <v>7346</v>
      </c>
      <c r="C3152" s="1345" t="s">
        <v>1376</v>
      </c>
      <c r="D3152" s="1346"/>
      <c r="E3152" s="392" t="s">
        <v>3</v>
      </c>
      <c r="F3152" s="393" t="s">
        <v>108</v>
      </c>
      <c r="G3152" s="390" t="s">
        <v>38</v>
      </c>
      <c r="H3152" s="132">
        <v>17135.617136528301</v>
      </c>
      <c r="I3152" s="392" t="s">
        <v>5</v>
      </c>
      <c r="J3152" s="1207" t="s">
        <v>2481</v>
      </c>
      <c r="K3152" s="1207"/>
      <c r="L3152" s="1208"/>
      <c r="M3152" s="50"/>
      <c r="N3152" s="50"/>
      <c r="P3152" s="9"/>
      <c r="Q3152" s="34"/>
      <c r="R3152" s="5"/>
      <c r="S3152" s="35"/>
    </row>
    <row r="3153" spans="1:19" ht="30" customHeight="1" x14ac:dyDescent="0.35">
      <c r="A3153" s="494" t="s">
        <v>187</v>
      </c>
      <c r="B3153" s="1280" t="s">
        <v>211</v>
      </c>
      <c r="C3153" s="1281"/>
      <c r="D3153" s="1282"/>
      <c r="E3153" s="566" t="s">
        <v>52</v>
      </c>
      <c r="F3153" s="566" t="s">
        <v>53</v>
      </c>
      <c r="G3153" s="1219" t="s">
        <v>54</v>
      </c>
      <c r="H3153" s="1220"/>
      <c r="I3153" s="185" t="s">
        <v>1051</v>
      </c>
      <c r="J3153" s="185" t="s">
        <v>188</v>
      </c>
      <c r="K3153" s="1209" t="s">
        <v>180</v>
      </c>
      <c r="L3153" s="1210"/>
      <c r="M3153" s="50"/>
      <c r="N3153" s="96"/>
      <c r="P3153" s="9"/>
      <c r="Q3153" s="34"/>
      <c r="R3153" s="5"/>
      <c r="S3153" s="35"/>
    </row>
    <row r="3154" spans="1:19" ht="30" customHeight="1" x14ac:dyDescent="0.35">
      <c r="A3154" s="790" t="s">
        <v>1358</v>
      </c>
      <c r="B3154" s="1202" t="s">
        <v>1377</v>
      </c>
      <c r="C3154" s="1203"/>
      <c r="D3154" s="1204"/>
      <c r="E3154" s="194">
        <v>111</v>
      </c>
      <c r="F3154" s="422" t="s">
        <v>108</v>
      </c>
      <c r="G3154" s="707"/>
      <c r="H3154" s="708"/>
      <c r="I3154" s="278"/>
      <c r="J3154" s="204">
        <v>1.1000000000000001</v>
      </c>
      <c r="K3154" s="194">
        <f>+E3154*J3154</f>
        <v>122.10000000000001</v>
      </c>
      <c r="L3154" s="186" t="s">
        <v>108</v>
      </c>
      <c r="M3154" s="50"/>
      <c r="N3154" s="96"/>
      <c r="O3154" s="5"/>
      <c r="P3154" s="9"/>
      <c r="Q3154" s="34"/>
      <c r="R3154" s="5"/>
      <c r="S3154" s="35"/>
    </row>
    <row r="3155" spans="1:19" ht="30" customHeight="1" x14ac:dyDescent="0.35">
      <c r="A3155" s="1016" t="s">
        <v>1172</v>
      </c>
      <c r="B3155" s="1202" t="s">
        <v>286</v>
      </c>
      <c r="C3155" s="1203"/>
      <c r="D3155" s="1203"/>
      <c r="E3155" s="194">
        <v>4.38</v>
      </c>
      <c r="F3155" s="422" t="s">
        <v>108</v>
      </c>
      <c r="G3155" s="707"/>
      <c r="H3155" s="708"/>
      <c r="I3155" s="278"/>
      <c r="J3155" s="204">
        <v>1.1000000000000001</v>
      </c>
      <c r="K3155" s="194">
        <f>+E3155*J3155</f>
        <v>4.8180000000000005</v>
      </c>
      <c r="L3155" s="186" t="s">
        <v>108</v>
      </c>
      <c r="M3155" s="50"/>
      <c r="N3155" s="50"/>
      <c r="O3155" s="5"/>
      <c r="P3155" s="9"/>
      <c r="Q3155" s="34"/>
      <c r="R3155" s="5"/>
      <c r="S3155" s="35"/>
    </row>
    <row r="3156" spans="1:19" ht="30" customHeight="1" x14ac:dyDescent="0.35">
      <c r="A3156" s="186" t="s">
        <v>268</v>
      </c>
      <c r="B3156" s="1212" t="s">
        <v>2487</v>
      </c>
      <c r="C3156" s="1213"/>
      <c r="D3156" s="1214"/>
      <c r="E3156" s="194">
        <f>(24+37.25)/2</f>
        <v>30.625</v>
      </c>
      <c r="F3156" s="127" t="s">
        <v>108</v>
      </c>
      <c r="G3156" s="117">
        <f>120*4</f>
        <v>480</v>
      </c>
      <c r="H3156" s="554" t="s">
        <v>275</v>
      </c>
      <c r="I3156" s="141">
        <f>+E3156*G3156/H3152</f>
        <v>0.857862304163166</v>
      </c>
      <c r="J3156" s="186">
        <v>1.22</v>
      </c>
      <c r="K3156" s="7">
        <f>+I3156*J3156</f>
        <v>1.0465920110790625</v>
      </c>
      <c r="L3156" s="186" t="s">
        <v>108</v>
      </c>
      <c r="M3156" s="50"/>
      <c r="N3156" s="50"/>
      <c r="O3156" s="5"/>
      <c r="P3156" s="9"/>
      <c r="Q3156" s="34"/>
      <c r="R3156" s="5"/>
      <c r="S3156" s="35"/>
    </row>
    <row r="3157" spans="1:19" ht="30" customHeight="1" x14ac:dyDescent="0.35">
      <c r="A3157" s="186" t="s">
        <v>268</v>
      </c>
      <c r="B3157" s="1212" t="s">
        <v>2488</v>
      </c>
      <c r="C3157" s="1213"/>
      <c r="D3157" s="1214"/>
      <c r="E3157" s="194">
        <f>(2020+2850)/2</f>
        <v>2435</v>
      </c>
      <c r="F3157" s="127" t="s">
        <v>40</v>
      </c>
      <c r="G3157" s="117"/>
      <c r="H3157" s="554"/>
      <c r="I3157" s="141">
        <f>4*E3157/H3152</f>
        <v>0.56840672398294123</v>
      </c>
      <c r="J3157" s="186">
        <v>1.22</v>
      </c>
      <c r="K3157" s="7">
        <f>+I3157*J3157</f>
        <v>0.69345620325918833</v>
      </c>
      <c r="L3157" s="186" t="s">
        <v>108</v>
      </c>
      <c r="M3157" s="50"/>
      <c r="N3157" s="50"/>
      <c r="O3157" s="5"/>
      <c r="P3157" s="9"/>
      <c r="Q3157" s="34"/>
      <c r="R3157" s="5"/>
      <c r="S3157" s="35"/>
    </row>
    <row r="3158" spans="1:19" ht="30" customHeight="1" x14ac:dyDescent="0.35">
      <c r="A3158" s="186" t="s">
        <v>271</v>
      </c>
      <c r="B3158" s="1212" t="s">
        <v>2486</v>
      </c>
      <c r="C3158" s="1213"/>
      <c r="D3158" s="1214"/>
      <c r="E3158" s="194">
        <v>72.38</v>
      </c>
      <c r="F3158" s="127" t="s">
        <v>28</v>
      </c>
      <c r="G3158" s="117">
        <f>4*10</f>
        <v>40</v>
      </c>
      <c r="H3158" s="554" t="s">
        <v>965</v>
      </c>
      <c r="I3158" s="141">
        <f>+E3158*G3158/H3152</f>
        <v>0.16895802333423116</v>
      </c>
      <c r="J3158" s="186">
        <v>1.1200000000000001</v>
      </c>
      <c r="K3158" s="7">
        <f>+I3158*J3158</f>
        <v>0.18923298613433892</v>
      </c>
      <c r="L3158" s="186" t="s">
        <v>108</v>
      </c>
      <c r="M3158" s="50"/>
      <c r="O3158" s="5"/>
      <c r="P3158" s="9"/>
      <c r="Q3158" s="34"/>
      <c r="R3158" s="5"/>
      <c r="S3158" s="35"/>
    </row>
    <row r="3159" spans="1:19" ht="30" customHeight="1" x14ac:dyDescent="0.35">
      <c r="A3159" s="985"/>
      <c r="B3159" s="1211"/>
      <c r="C3159" s="1211"/>
      <c r="D3159" s="1211"/>
      <c r="E3159" s="194"/>
      <c r="F3159" s="186"/>
      <c r="G3159" s="186"/>
      <c r="H3159" s="186"/>
      <c r="I3159" s="186"/>
      <c r="J3159" s="186" t="s">
        <v>223</v>
      </c>
      <c r="K3159" s="194">
        <f>SUM(K3154:K3158)</f>
        <v>128.84728120047257</v>
      </c>
      <c r="L3159" s="186" t="s">
        <v>108</v>
      </c>
      <c r="M3159" s="50"/>
      <c r="N3159" s="50"/>
      <c r="O3159" s="5"/>
      <c r="P3159" s="9"/>
      <c r="Q3159" s="34"/>
      <c r="R3159" s="5"/>
      <c r="S3159" s="35"/>
    </row>
    <row r="3160" spans="1:19" ht="30" customHeight="1" x14ac:dyDescent="0.35">
      <c r="A3160" s="186"/>
      <c r="B3160" s="567"/>
      <c r="C3160" s="567"/>
      <c r="D3160" s="567"/>
      <c r="E3160" s="194"/>
      <c r="F3160" s="1215" t="s">
        <v>195</v>
      </c>
      <c r="G3160" s="1273" t="s">
        <v>196</v>
      </c>
      <c r="H3160" s="1273"/>
      <c r="I3160" s="1273"/>
      <c r="J3160" s="1273"/>
      <c r="K3160" s="196">
        <v>1.06</v>
      </c>
      <c r="L3160" s="186"/>
      <c r="M3160" s="50"/>
      <c r="N3160" s="50"/>
      <c r="O3160" s="5"/>
      <c r="P3160" s="9"/>
      <c r="Q3160" s="34"/>
      <c r="R3160" s="5"/>
      <c r="S3160" s="35"/>
    </row>
    <row r="3161" spans="1:19" ht="30" customHeight="1" x14ac:dyDescent="0.35">
      <c r="A3161" s="186"/>
      <c r="B3161" s="567"/>
      <c r="C3161" s="567"/>
      <c r="D3161" s="567"/>
      <c r="E3161" s="194"/>
      <c r="F3161" s="1216"/>
      <c r="G3161" s="1491" t="s">
        <v>2477</v>
      </c>
      <c r="H3161" s="1413"/>
      <c r="I3161" s="1413"/>
      <c r="J3161" s="1414"/>
      <c r="K3161" s="196">
        <v>1.05</v>
      </c>
      <c r="L3161" s="186"/>
      <c r="M3161" s="50"/>
      <c r="N3161" s="50"/>
      <c r="O3161" s="5"/>
      <c r="P3161" s="9"/>
      <c r="Q3161" s="34"/>
      <c r="R3161" s="5"/>
      <c r="S3161" s="35"/>
    </row>
    <row r="3162" spans="1:19" ht="30" customHeight="1" x14ac:dyDescent="0.35">
      <c r="A3162" s="186"/>
      <c r="B3162" s="186"/>
      <c r="C3162" s="503"/>
      <c r="D3162" s="503"/>
      <c r="E3162" s="503"/>
      <c r="F3162" s="503"/>
      <c r="G3162" s="503"/>
      <c r="H3162" s="503"/>
      <c r="I3162" s="503"/>
      <c r="J3162" s="186" t="s">
        <v>37</v>
      </c>
      <c r="K3162" s="193">
        <f>+K3159*K3160/K3161</f>
        <v>130.07439816428661</v>
      </c>
      <c r="L3162" s="186" t="s">
        <v>108</v>
      </c>
      <c r="M3162" s="50"/>
      <c r="N3162" s="50"/>
      <c r="O3162" s="539"/>
      <c r="P3162" s="9"/>
      <c r="Q3162" s="34"/>
      <c r="R3162" s="5"/>
      <c r="S3162" s="35"/>
    </row>
    <row r="3163" spans="1:19" ht="30" customHeight="1" x14ac:dyDescent="0.35">
      <c r="A3163" s="186"/>
      <c r="B3163" s="186"/>
      <c r="C3163" s="503"/>
      <c r="D3163" s="503"/>
      <c r="E3163" s="503"/>
      <c r="F3163" s="503"/>
      <c r="G3163" s="1478" t="s">
        <v>257</v>
      </c>
      <c r="H3163" s="1479"/>
      <c r="I3163" s="1480"/>
      <c r="J3163" s="560">
        <f>VLOOKUP(B3152,'Mil Cost Premiums for PUCs'!$A$4:$R$285,18,FALSE)</f>
        <v>1.2146671166928804</v>
      </c>
      <c r="K3163" s="193">
        <f>+K3162*J3163</f>
        <v>157.99709417377571</v>
      </c>
      <c r="L3163" s="186" t="s">
        <v>108</v>
      </c>
      <c r="M3163" s="50"/>
      <c r="N3163" s="50"/>
      <c r="O3163" s="539"/>
      <c r="P3163" s="9"/>
      <c r="Q3163" s="34"/>
      <c r="R3163" s="5"/>
      <c r="S3163" s="35"/>
    </row>
    <row r="3164" spans="1:19" ht="30" customHeight="1" thickBot="1" x14ac:dyDescent="0.4">
      <c r="A3164" s="186"/>
      <c r="B3164" s="186"/>
      <c r="C3164" s="503"/>
      <c r="D3164" s="503"/>
      <c r="E3164" s="503"/>
      <c r="F3164" s="503"/>
      <c r="G3164" s="1478" t="s">
        <v>3000</v>
      </c>
      <c r="H3164" s="1479"/>
      <c r="I3164" s="1480"/>
      <c r="J3164" s="560">
        <v>1.0438745311870361</v>
      </c>
      <c r="K3164" s="193">
        <f>+K3163*J3164</f>
        <v>164.92914260956411</v>
      </c>
      <c r="L3164" s="186" t="s">
        <v>108</v>
      </c>
      <c r="M3164" s="50"/>
      <c r="N3164" s="50"/>
      <c r="O3164" s="5"/>
      <c r="P3164" s="9"/>
      <c r="Q3164" s="34"/>
      <c r="R3164" s="5"/>
      <c r="S3164" s="35"/>
    </row>
    <row r="3165" spans="1:19" ht="30" customHeight="1" thickBot="1" x14ac:dyDescent="0.4">
      <c r="A3165" s="1199"/>
      <c r="B3165" s="1200"/>
      <c r="C3165" s="1200"/>
      <c r="D3165" s="1200"/>
      <c r="E3165" s="1200"/>
      <c r="F3165" s="1200"/>
      <c r="G3165" s="1200"/>
      <c r="H3165" s="1200"/>
      <c r="I3165" s="1200"/>
      <c r="J3165" s="1200"/>
      <c r="K3165" s="1200"/>
      <c r="L3165" s="1201"/>
      <c r="M3165" s="50"/>
      <c r="N3165" s="50"/>
      <c r="O3165" s="5"/>
      <c r="P3165" s="9"/>
      <c r="Q3165" s="34"/>
      <c r="R3165" s="5"/>
      <c r="S3165" s="35"/>
    </row>
    <row r="3166" spans="1:19" ht="30" customHeight="1" x14ac:dyDescent="0.35">
      <c r="A3166" s="388" t="s">
        <v>1</v>
      </c>
      <c r="B3166" s="389">
        <v>7347</v>
      </c>
      <c r="C3166" s="1205" t="s">
        <v>1378</v>
      </c>
      <c r="D3166" s="1206"/>
      <c r="E3166" s="392" t="s">
        <v>3</v>
      </c>
      <c r="F3166" s="393" t="s">
        <v>108</v>
      </c>
      <c r="G3166" s="390" t="s">
        <v>38</v>
      </c>
      <c r="H3166" s="132">
        <v>4975.4204724409401</v>
      </c>
      <c r="I3166" s="392" t="s">
        <v>5</v>
      </c>
      <c r="J3166" s="1207" t="s">
        <v>2481</v>
      </c>
      <c r="K3166" s="1207"/>
      <c r="L3166" s="1208"/>
      <c r="M3166" s="50"/>
      <c r="N3166" s="50"/>
      <c r="O3166" s="5"/>
      <c r="P3166" s="9"/>
      <c r="Q3166" s="34"/>
      <c r="R3166" s="5"/>
      <c r="S3166" s="35"/>
    </row>
    <row r="3167" spans="1:19" ht="30" customHeight="1" x14ac:dyDescent="0.35">
      <c r="A3167" s="494" t="s">
        <v>187</v>
      </c>
      <c r="B3167" s="1280" t="s">
        <v>211</v>
      </c>
      <c r="C3167" s="1281"/>
      <c r="D3167" s="1282"/>
      <c r="E3167" s="566" t="s">
        <v>52</v>
      </c>
      <c r="F3167" s="566" t="s">
        <v>53</v>
      </c>
      <c r="G3167" s="1219" t="s">
        <v>54</v>
      </c>
      <c r="H3167" s="1220"/>
      <c r="I3167" s="185" t="s">
        <v>1051</v>
      </c>
      <c r="J3167" s="185" t="s">
        <v>188</v>
      </c>
      <c r="K3167" s="1209" t="s">
        <v>180</v>
      </c>
      <c r="L3167" s="1210"/>
      <c r="M3167" s="50"/>
      <c r="N3167" s="50"/>
      <c r="O3167" s="5"/>
      <c r="P3167" s="9"/>
      <c r="Q3167" s="34"/>
      <c r="R3167" s="5"/>
      <c r="S3167" s="35"/>
    </row>
    <row r="3168" spans="1:19" ht="30" customHeight="1" x14ac:dyDescent="0.35">
      <c r="A3168" s="790" t="s">
        <v>1379</v>
      </c>
      <c r="B3168" s="1212" t="s">
        <v>2518</v>
      </c>
      <c r="C3168" s="1213"/>
      <c r="D3168" s="1214"/>
      <c r="E3168" s="194">
        <f>217-3.21</f>
        <v>213.79</v>
      </c>
      <c r="F3168" s="422" t="s">
        <v>108</v>
      </c>
      <c r="G3168" s="707"/>
      <c r="H3168" s="708"/>
      <c r="I3168" s="278"/>
      <c r="J3168" s="186">
        <v>1.1200000000000001</v>
      </c>
      <c r="K3168" s="194">
        <f>+E3168*J3168</f>
        <v>239.44480000000001</v>
      </c>
      <c r="L3168" s="186" t="s">
        <v>108</v>
      </c>
      <c r="M3168" s="50"/>
      <c r="N3168" s="50"/>
      <c r="O3168" s="5"/>
      <c r="P3168" s="9"/>
      <c r="Q3168" s="34"/>
      <c r="R3168" s="5"/>
      <c r="S3168" s="35"/>
    </row>
    <row r="3169" spans="1:19" ht="30" customHeight="1" x14ac:dyDescent="0.35">
      <c r="A3169" s="985" t="s">
        <v>285</v>
      </c>
      <c r="B3169" s="1202" t="s">
        <v>2517</v>
      </c>
      <c r="C3169" s="1203"/>
      <c r="D3169" s="1204"/>
      <c r="E3169" s="194">
        <v>5.47</v>
      </c>
      <c r="F3169" s="422" t="s">
        <v>108</v>
      </c>
      <c r="G3169" s="707"/>
      <c r="H3169" s="708"/>
      <c r="I3169" s="278"/>
      <c r="J3169" s="186">
        <v>1.1200000000000001</v>
      </c>
      <c r="K3169" s="194">
        <f>+E3169*J3169</f>
        <v>6.1264000000000003</v>
      </c>
      <c r="L3169" s="186" t="s">
        <v>108</v>
      </c>
      <c r="M3169" s="50"/>
      <c r="N3169" s="50"/>
      <c r="O3169" s="5"/>
      <c r="P3169" s="9"/>
      <c r="Q3169" s="34"/>
      <c r="R3169" s="5"/>
      <c r="S3169" s="35"/>
    </row>
    <row r="3170" spans="1:19" ht="30" customHeight="1" x14ac:dyDescent="0.35">
      <c r="A3170" s="186"/>
      <c r="B3170" s="1211"/>
      <c r="C3170" s="1211"/>
      <c r="D3170" s="1211"/>
      <c r="E3170" s="194"/>
      <c r="F3170" s="186"/>
      <c r="G3170" s="186"/>
      <c r="H3170" s="186"/>
      <c r="I3170" s="186"/>
      <c r="J3170" s="186" t="s">
        <v>223</v>
      </c>
      <c r="K3170" s="194">
        <f>SUM(K3168:K3169)</f>
        <v>245.5712</v>
      </c>
      <c r="L3170" s="186" t="s">
        <v>108</v>
      </c>
      <c r="M3170" s="50"/>
      <c r="N3170" s="50"/>
      <c r="O3170" s="384"/>
      <c r="P3170" s="9"/>
      <c r="Q3170" s="34"/>
      <c r="R3170" s="5"/>
      <c r="S3170" s="35"/>
    </row>
    <row r="3171" spans="1:19" ht="30" customHeight="1" x14ac:dyDescent="0.35">
      <c r="A3171" s="186"/>
      <c r="B3171" s="567"/>
      <c r="C3171" s="567"/>
      <c r="D3171" s="567"/>
      <c r="E3171" s="194"/>
      <c r="F3171" s="1215" t="s">
        <v>195</v>
      </c>
      <c r="G3171" s="1273" t="s">
        <v>196</v>
      </c>
      <c r="H3171" s="1273"/>
      <c r="I3171" s="1273"/>
      <c r="J3171" s="1273"/>
      <c r="K3171" s="196">
        <v>1.06</v>
      </c>
      <c r="L3171" s="186"/>
      <c r="M3171" s="50"/>
      <c r="N3171" s="50"/>
    </row>
    <row r="3172" spans="1:19" ht="30" customHeight="1" x14ac:dyDescent="0.35">
      <c r="A3172" s="186"/>
      <c r="B3172" s="567"/>
      <c r="C3172" s="567"/>
      <c r="D3172" s="567"/>
      <c r="E3172" s="194"/>
      <c r="F3172" s="1216"/>
      <c r="G3172" s="1491" t="s">
        <v>2477</v>
      </c>
      <c r="H3172" s="1413"/>
      <c r="I3172" s="1413"/>
      <c r="J3172" s="1414"/>
      <c r="K3172" s="196">
        <v>1.05</v>
      </c>
      <c r="L3172" s="186"/>
      <c r="M3172" s="50"/>
      <c r="O3172" s="384"/>
      <c r="P3172" s="9"/>
      <c r="Q3172" s="34"/>
      <c r="R3172" s="5"/>
      <c r="S3172" s="35"/>
    </row>
    <row r="3173" spans="1:19" ht="30" customHeight="1" x14ac:dyDescent="0.35">
      <c r="A3173" s="186"/>
      <c r="B3173" s="186"/>
      <c r="C3173" s="503"/>
      <c r="D3173" s="503"/>
      <c r="E3173" s="503"/>
      <c r="F3173" s="503"/>
      <c r="G3173" s="503"/>
      <c r="H3173" s="503"/>
      <c r="I3173" s="503"/>
      <c r="J3173" s="186" t="s">
        <v>37</v>
      </c>
      <c r="K3173" s="193">
        <f>+K3170*K3171/K3172</f>
        <v>247.90997333333334</v>
      </c>
      <c r="L3173" s="186" t="s">
        <v>108</v>
      </c>
      <c r="M3173" s="50"/>
      <c r="N3173" s="50"/>
      <c r="O3173" s="5"/>
      <c r="P3173" s="9"/>
      <c r="Q3173" s="34"/>
      <c r="R3173" s="5"/>
      <c r="S3173" s="35"/>
    </row>
    <row r="3174" spans="1:19" ht="30" customHeight="1" x14ac:dyDescent="0.35">
      <c r="A3174" s="186"/>
      <c r="B3174" s="186"/>
      <c r="C3174" s="503"/>
      <c r="D3174" s="503"/>
      <c r="E3174" s="503"/>
      <c r="F3174" s="503"/>
      <c r="G3174" s="1364" t="s">
        <v>257</v>
      </c>
      <c r="H3174" s="1364"/>
      <c r="I3174" s="1364"/>
      <c r="J3174" s="560">
        <f>VLOOKUP(B3166,'Mil Cost Premiums for PUCs'!$A$4:$R$285,18,FALSE)</f>
        <v>1.3148549708569053</v>
      </c>
      <c r="K3174" s="193">
        <f>+K3173*J3174</f>
        <v>325.9656607623362</v>
      </c>
      <c r="L3174" s="186" t="s">
        <v>108</v>
      </c>
      <c r="M3174" s="50"/>
      <c r="N3174" s="53"/>
      <c r="O3174" s="5"/>
      <c r="P3174" s="9"/>
      <c r="Q3174" s="34"/>
      <c r="R3174" s="5"/>
      <c r="S3174" s="35"/>
    </row>
    <row r="3175" spans="1:19" ht="30" customHeight="1" thickBot="1" x14ac:dyDescent="0.4">
      <c r="A3175" s="186"/>
      <c r="B3175" s="186"/>
      <c r="C3175" s="503"/>
      <c r="D3175" s="503"/>
      <c r="E3175" s="503"/>
      <c r="F3175" s="503"/>
      <c r="G3175" s="1497" t="s">
        <v>3000</v>
      </c>
      <c r="H3175" s="1498"/>
      <c r="I3175" s="1499"/>
      <c r="J3175" s="560">
        <v>1.0438745311870361</v>
      </c>
      <c r="K3175" s="193">
        <f>+K3174*J3175</f>
        <v>340.26725131135618</v>
      </c>
      <c r="L3175" s="186" t="s">
        <v>108</v>
      </c>
      <c r="M3175" s="50"/>
      <c r="N3175" s="472"/>
      <c r="O3175" s="5"/>
      <c r="P3175" s="9"/>
      <c r="Q3175" s="34"/>
      <c r="R3175" s="5"/>
      <c r="S3175" s="35"/>
    </row>
    <row r="3176" spans="1:19" ht="30" customHeight="1" thickBot="1" x14ac:dyDescent="0.4">
      <c r="A3176" s="1199"/>
      <c r="B3176" s="1200"/>
      <c r="C3176" s="1200"/>
      <c r="D3176" s="1200"/>
      <c r="E3176" s="1200"/>
      <c r="F3176" s="1200"/>
      <c r="G3176" s="1200"/>
      <c r="H3176" s="1200"/>
      <c r="I3176" s="1200"/>
      <c r="J3176" s="1200"/>
      <c r="K3176" s="1200"/>
      <c r="L3176" s="1201"/>
      <c r="M3176" s="50"/>
      <c r="N3176" s="53"/>
      <c r="O3176" s="5"/>
      <c r="P3176" s="9"/>
      <c r="Q3176" s="34"/>
      <c r="R3176" s="5"/>
      <c r="S3176" s="35"/>
    </row>
    <row r="3177" spans="1:19" ht="30" customHeight="1" x14ac:dyDescent="0.35">
      <c r="A3177" s="388" t="s">
        <v>1</v>
      </c>
      <c r="B3177" s="389">
        <v>7348</v>
      </c>
      <c r="C3177" s="1205" t="s">
        <v>1380</v>
      </c>
      <c r="D3177" s="1206"/>
      <c r="E3177" s="392" t="s">
        <v>3</v>
      </c>
      <c r="F3177" s="525" t="s">
        <v>108</v>
      </c>
      <c r="G3177" s="529" t="s">
        <v>1381</v>
      </c>
      <c r="H3177" s="132">
        <v>1803</v>
      </c>
      <c r="I3177" s="392" t="s">
        <v>5</v>
      </c>
      <c r="J3177" s="1207" t="s">
        <v>2874</v>
      </c>
      <c r="K3177" s="1207"/>
      <c r="L3177" s="1208"/>
      <c r="M3177" s="50"/>
      <c r="N3177" s="50"/>
      <c r="O3177" s="5"/>
      <c r="P3177" s="9"/>
      <c r="Q3177" s="34"/>
      <c r="R3177" s="5"/>
      <c r="S3177" s="35"/>
    </row>
    <row r="3178" spans="1:19" ht="30" customHeight="1" x14ac:dyDescent="0.35">
      <c r="A3178" s="494" t="s">
        <v>187</v>
      </c>
      <c r="B3178" s="1280" t="s">
        <v>211</v>
      </c>
      <c r="C3178" s="1281"/>
      <c r="D3178" s="1282"/>
      <c r="E3178" s="566" t="s">
        <v>52</v>
      </c>
      <c r="F3178" s="566" t="s">
        <v>53</v>
      </c>
      <c r="G3178" s="1219" t="s">
        <v>54</v>
      </c>
      <c r="H3178" s="1220"/>
      <c r="I3178" s="185" t="s">
        <v>188</v>
      </c>
      <c r="J3178" s="185"/>
      <c r="K3178" s="1209" t="s">
        <v>180</v>
      </c>
      <c r="L3178" s="1210"/>
      <c r="M3178" s="50"/>
      <c r="N3178" s="50"/>
      <c r="O3178" s="5"/>
      <c r="P3178" s="9"/>
      <c r="Q3178" s="34"/>
      <c r="R3178" s="5"/>
      <c r="S3178" s="35"/>
    </row>
    <row r="3179" spans="1:19" ht="30" customHeight="1" x14ac:dyDescent="0.35">
      <c r="A3179" s="790" t="s">
        <v>1382</v>
      </c>
      <c r="B3179" s="1202" t="s">
        <v>2889</v>
      </c>
      <c r="C3179" s="1203"/>
      <c r="D3179" s="1204"/>
      <c r="E3179" s="194">
        <v>96</v>
      </c>
      <c r="F3179" s="422" t="s">
        <v>108</v>
      </c>
      <c r="G3179" s="707"/>
      <c r="H3179" s="708"/>
      <c r="I3179" s="186">
        <v>1.1000000000000001</v>
      </c>
      <c r="J3179" s="186"/>
      <c r="K3179" s="194">
        <f>+E3179*I3179</f>
        <v>105.60000000000001</v>
      </c>
      <c r="L3179" s="186" t="s">
        <v>108</v>
      </c>
      <c r="M3179" s="50"/>
      <c r="N3179" s="50"/>
      <c r="O3179" s="5"/>
      <c r="P3179" s="9"/>
      <c r="Q3179" s="34"/>
      <c r="R3179" s="5"/>
      <c r="S3179" s="35"/>
    </row>
    <row r="3180" spans="1:19" ht="30" customHeight="1" x14ac:dyDescent="0.35">
      <c r="A3180" s="186"/>
      <c r="B3180" s="567"/>
      <c r="C3180" s="567"/>
      <c r="D3180" s="567"/>
      <c r="E3180" s="194"/>
      <c r="F3180" s="1215" t="s">
        <v>195</v>
      </c>
      <c r="G3180" s="1273" t="s">
        <v>196</v>
      </c>
      <c r="H3180" s="1273"/>
      <c r="I3180" s="1273"/>
      <c r="J3180" s="1273"/>
      <c r="K3180" s="196">
        <v>1.05</v>
      </c>
      <c r="L3180" s="186"/>
      <c r="M3180" s="50"/>
      <c r="N3180" s="50"/>
      <c r="O3180" s="5"/>
      <c r="P3180" s="9"/>
      <c r="Q3180" s="34"/>
      <c r="R3180" s="5"/>
      <c r="S3180" s="35"/>
    </row>
    <row r="3181" spans="1:19" ht="30" customHeight="1" x14ac:dyDescent="0.35">
      <c r="A3181" s="186"/>
      <c r="B3181" s="567"/>
      <c r="C3181" s="567"/>
      <c r="D3181" s="567"/>
      <c r="E3181" s="194"/>
      <c r="F3181" s="1216"/>
      <c r="G3181" s="1268" t="s">
        <v>2875</v>
      </c>
      <c r="H3181" s="1268"/>
      <c r="I3181" s="1268"/>
      <c r="J3181" s="1268"/>
      <c r="K3181" s="196">
        <v>1.07</v>
      </c>
      <c r="L3181" s="186"/>
      <c r="M3181" s="50"/>
      <c r="N3181" s="50"/>
      <c r="O3181" s="5"/>
      <c r="P3181" s="9"/>
      <c r="Q3181" s="34"/>
      <c r="R3181" s="5"/>
      <c r="S3181" s="35"/>
    </row>
    <row r="3182" spans="1:19" ht="30" customHeight="1" x14ac:dyDescent="0.35">
      <c r="A3182" s="186"/>
      <c r="B3182" s="186"/>
      <c r="C3182" s="503"/>
      <c r="D3182" s="503"/>
      <c r="E3182" s="503"/>
      <c r="F3182" s="503"/>
      <c r="G3182" s="503"/>
      <c r="H3182" s="503"/>
      <c r="I3182" s="503"/>
      <c r="J3182" s="186" t="s">
        <v>37</v>
      </c>
      <c r="K3182" s="193">
        <f>+K3179*K3180/K3181</f>
        <v>103.62616822429906</v>
      </c>
      <c r="L3182" s="186" t="s">
        <v>108</v>
      </c>
      <c r="M3182" s="50"/>
      <c r="N3182" s="50"/>
      <c r="O3182" s="5"/>
      <c r="P3182" s="9"/>
      <c r="Q3182" s="34"/>
      <c r="R3182" s="5"/>
      <c r="S3182" s="35"/>
    </row>
    <row r="3183" spans="1:19" ht="30" customHeight="1" thickBot="1" x14ac:dyDescent="0.4">
      <c r="A3183" s="186"/>
      <c r="B3183" s="186"/>
      <c r="C3183" s="503"/>
      <c r="D3183" s="503"/>
      <c r="E3183" s="503"/>
      <c r="F3183" s="503"/>
      <c r="G3183" s="1194" t="s">
        <v>257</v>
      </c>
      <c r="H3183" s="1195"/>
      <c r="I3183" s="1196"/>
      <c r="J3183" s="560">
        <f>VLOOKUP(B3177,'Mil Cost Premiums for PUCs'!$A$4:$R$285,18,FALSE)</f>
        <v>1.1080418597902797</v>
      </c>
      <c r="K3183" s="193">
        <f>+K3182*J3183</f>
        <v>114.82213216219272</v>
      </c>
      <c r="L3183" s="186" t="s">
        <v>108</v>
      </c>
      <c r="M3183" s="50"/>
      <c r="N3183" s="50"/>
      <c r="O3183" s="5"/>
      <c r="P3183" s="9"/>
      <c r="Q3183" s="34"/>
      <c r="R3183" s="5"/>
      <c r="S3183" s="35"/>
    </row>
    <row r="3184" spans="1:19" ht="30" customHeight="1" thickBot="1" x14ac:dyDescent="0.4">
      <c r="A3184" s="1199"/>
      <c r="B3184" s="1200"/>
      <c r="C3184" s="1200"/>
      <c r="D3184" s="1200"/>
      <c r="E3184" s="1200"/>
      <c r="F3184" s="1200"/>
      <c r="G3184" s="1200"/>
      <c r="H3184" s="1200"/>
      <c r="I3184" s="1200"/>
      <c r="J3184" s="1200"/>
      <c r="K3184" s="1200"/>
      <c r="L3184" s="1201"/>
      <c r="N3184" s="50"/>
      <c r="O3184" s="5"/>
      <c r="P3184" s="9"/>
      <c r="Q3184" s="34"/>
      <c r="R3184" s="5"/>
      <c r="S3184" s="35"/>
    </row>
    <row r="3185" spans="1:21" ht="30" customHeight="1" x14ac:dyDescent="0.35">
      <c r="A3185" s="388" t="s">
        <v>1</v>
      </c>
      <c r="B3185" s="389">
        <v>7349</v>
      </c>
      <c r="C3185" s="1288" t="s">
        <v>1383</v>
      </c>
      <c r="D3185" s="1289"/>
      <c r="E3185" s="392" t="s">
        <v>3</v>
      </c>
      <c r="F3185" s="393" t="s">
        <v>108</v>
      </c>
      <c r="G3185" s="390" t="s">
        <v>38</v>
      </c>
      <c r="H3185" s="132">
        <v>43566.878571428497</v>
      </c>
      <c r="I3185" s="392" t="s">
        <v>5</v>
      </c>
      <c r="J3185" s="1207" t="s">
        <v>2481</v>
      </c>
      <c r="K3185" s="1207"/>
      <c r="L3185" s="1208"/>
      <c r="M3185" s="50"/>
      <c r="N3185" s="50"/>
      <c r="O3185" s="5"/>
      <c r="P3185" s="9"/>
      <c r="Q3185" s="34"/>
      <c r="R3185" s="5"/>
      <c r="S3185" s="35"/>
      <c r="U3185" s="396"/>
    </row>
    <row r="3186" spans="1:21" ht="30" customHeight="1" x14ac:dyDescent="0.35">
      <c r="A3186" s="494" t="s">
        <v>187</v>
      </c>
      <c r="B3186" s="1280" t="s">
        <v>211</v>
      </c>
      <c r="C3186" s="1281"/>
      <c r="D3186" s="1282"/>
      <c r="E3186" s="566" t="s">
        <v>52</v>
      </c>
      <c r="F3186" s="566" t="s">
        <v>53</v>
      </c>
      <c r="G3186" s="1219" t="s">
        <v>54</v>
      </c>
      <c r="H3186" s="1220"/>
      <c r="I3186" s="185" t="s">
        <v>1051</v>
      </c>
      <c r="J3186" s="185" t="s">
        <v>188</v>
      </c>
      <c r="K3186" s="1209" t="s">
        <v>180</v>
      </c>
      <c r="L3186" s="1210"/>
      <c r="M3186" s="50"/>
      <c r="N3186" s="50"/>
    </row>
    <row r="3187" spans="1:21" ht="30" customHeight="1" x14ac:dyDescent="0.35">
      <c r="A3187" s="790" t="s">
        <v>1384</v>
      </c>
      <c r="B3187" s="1202" t="s">
        <v>1385</v>
      </c>
      <c r="C3187" s="1203"/>
      <c r="D3187" s="1204"/>
      <c r="E3187" s="194">
        <v>116</v>
      </c>
      <c r="F3187" s="422" t="s">
        <v>108</v>
      </c>
      <c r="G3187" s="1025"/>
      <c r="H3187" s="708"/>
      <c r="I3187" s="278"/>
      <c r="J3187" s="204">
        <v>1.1000000000000001</v>
      </c>
      <c r="K3187" s="194">
        <f>+E3187*J3187</f>
        <v>127.60000000000001</v>
      </c>
      <c r="L3187" s="186" t="s">
        <v>108</v>
      </c>
      <c r="M3187" s="50"/>
      <c r="N3187" s="50"/>
      <c r="O3187" s="5"/>
      <c r="T3187" s="10"/>
    </row>
    <row r="3188" spans="1:21" ht="30" customHeight="1" x14ac:dyDescent="0.35">
      <c r="A3188" s="790" t="s">
        <v>1172</v>
      </c>
      <c r="B3188" s="1202" t="s">
        <v>1387</v>
      </c>
      <c r="C3188" s="1203"/>
      <c r="D3188" s="1204"/>
      <c r="E3188" s="194">
        <v>3.64</v>
      </c>
      <c r="F3188" s="422" t="s">
        <v>108</v>
      </c>
      <c r="G3188" s="62"/>
      <c r="H3188" s="708"/>
      <c r="I3188" s="278"/>
      <c r="J3188" s="204">
        <v>1.1000000000000001</v>
      </c>
      <c r="K3188" s="194">
        <f>+E3188*J3188</f>
        <v>4.0040000000000004</v>
      </c>
      <c r="L3188" s="186" t="s">
        <v>108</v>
      </c>
      <c r="M3188" s="50"/>
      <c r="N3188" s="50"/>
      <c r="O3188" s="5"/>
      <c r="P3188" s="9"/>
      <c r="Q3188" s="34"/>
      <c r="R3188" s="5"/>
      <c r="S3188" s="35"/>
    </row>
    <row r="3189" spans="1:21" ht="30" customHeight="1" x14ac:dyDescent="0.35">
      <c r="A3189" s="186" t="s">
        <v>268</v>
      </c>
      <c r="B3189" s="1212" t="s">
        <v>2490</v>
      </c>
      <c r="C3189" s="1213"/>
      <c r="D3189" s="1214"/>
      <c r="E3189" s="194">
        <f>(24+37.25)/2</f>
        <v>30.625</v>
      </c>
      <c r="F3189" s="127" t="s">
        <v>108</v>
      </c>
      <c r="G3189" s="117">
        <f>120*8</f>
        <v>960</v>
      </c>
      <c r="H3189" s="554" t="s">
        <v>275</v>
      </c>
      <c r="I3189" s="141">
        <f>+E3189*G3189/H3185</f>
        <v>0.67482456774584609</v>
      </c>
      <c r="J3189" s="186">
        <v>1.22</v>
      </c>
      <c r="K3189" s="7">
        <f>+I3189*J3189</f>
        <v>0.8232859726499322</v>
      </c>
      <c r="L3189" s="186" t="s">
        <v>108</v>
      </c>
      <c r="M3189" s="50"/>
      <c r="N3189" s="50"/>
      <c r="O3189" s="5"/>
      <c r="P3189" s="9"/>
      <c r="Q3189" s="34"/>
      <c r="R3189" s="5"/>
      <c r="S3189" s="35"/>
    </row>
    <row r="3190" spans="1:21" ht="30" customHeight="1" x14ac:dyDescent="0.35">
      <c r="A3190" s="186" t="s">
        <v>268</v>
      </c>
      <c r="B3190" s="1212" t="s">
        <v>2491</v>
      </c>
      <c r="C3190" s="1213"/>
      <c r="D3190" s="1214"/>
      <c r="E3190" s="194">
        <f>(2020+2850)/2</f>
        <v>2435</v>
      </c>
      <c r="F3190" s="127" t="s">
        <v>40</v>
      </c>
      <c r="G3190" s="117"/>
      <c r="H3190" s="554"/>
      <c r="I3190" s="141">
        <f>8*E3190/H3185</f>
        <v>0.44712865917309802</v>
      </c>
      <c r="J3190" s="186">
        <v>1.22</v>
      </c>
      <c r="K3190" s="7">
        <f>+I3190*J3190</f>
        <v>0.54549696419117955</v>
      </c>
      <c r="L3190" s="186" t="s">
        <v>108</v>
      </c>
      <c r="M3190" s="50"/>
      <c r="N3190" s="50"/>
      <c r="O3190" s="572"/>
      <c r="P3190" s="9"/>
      <c r="Q3190" s="34"/>
      <c r="R3190" s="5"/>
      <c r="S3190" s="35"/>
    </row>
    <row r="3191" spans="1:21" ht="30" customHeight="1" x14ac:dyDescent="0.35">
      <c r="A3191" s="186" t="s">
        <v>271</v>
      </c>
      <c r="B3191" s="1212" t="s">
        <v>2486</v>
      </c>
      <c r="C3191" s="1213"/>
      <c r="D3191" s="1214"/>
      <c r="E3191" s="194">
        <v>72.38</v>
      </c>
      <c r="F3191" s="127" t="s">
        <v>28</v>
      </c>
      <c r="G3191" s="117">
        <v>80</v>
      </c>
      <c r="H3191" s="554" t="s">
        <v>965</v>
      </c>
      <c r="I3191" s="141">
        <f>+E3191*G3191/H3185</f>
        <v>0.13290830534270567</v>
      </c>
      <c r="J3191" s="186">
        <v>1.1200000000000001</v>
      </c>
      <c r="K3191" s="7">
        <f>+I3191*J3191</f>
        <v>0.14885730198383038</v>
      </c>
      <c r="L3191" s="186" t="s">
        <v>108</v>
      </c>
      <c r="M3191" s="96"/>
      <c r="N3191" s="50"/>
      <c r="P3191" s="9"/>
      <c r="Q3191" s="34"/>
      <c r="R3191" s="5"/>
      <c r="S3191" s="35"/>
    </row>
    <row r="3192" spans="1:21" ht="30" customHeight="1" x14ac:dyDescent="0.35">
      <c r="A3192" s="790" t="s">
        <v>271</v>
      </c>
      <c r="B3192" s="1202" t="s">
        <v>1386</v>
      </c>
      <c r="C3192" s="1203"/>
      <c r="D3192" s="1204"/>
      <c r="E3192" s="194">
        <f>+(8000+15300)/2</f>
        <v>11650</v>
      </c>
      <c r="F3192" s="422" t="s">
        <v>40</v>
      </c>
      <c r="G3192" s="62">
        <f>+E3192*8/H3185</f>
        <v>2.1392397861875123</v>
      </c>
      <c r="H3192" s="708" t="s">
        <v>1327</v>
      </c>
      <c r="I3192" s="278"/>
      <c r="J3192" s="186">
        <v>1.1200000000000001</v>
      </c>
      <c r="K3192" s="194">
        <f>+G3192*J3192</f>
        <v>2.3959485605300141</v>
      </c>
      <c r="L3192" s="186" t="s">
        <v>108</v>
      </c>
      <c r="M3192" s="50"/>
      <c r="N3192" s="96"/>
      <c r="P3192" s="9"/>
      <c r="Q3192" s="34"/>
      <c r="R3192" s="5"/>
      <c r="S3192" s="35"/>
    </row>
    <row r="3193" spans="1:21" ht="30" customHeight="1" x14ac:dyDescent="0.35">
      <c r="A3193" s="790"/>
      <c r="B3193" s="1202"/>
      <c r="C3193" s="1203"/>
      <c r="D3193" s="1204"/>
      <c r="E3193" s="194"/>
      <c r="F3193" s="422"/>
      <c r="G3193" s="707"/>
      <c r="H3193" s="708"/>
      <c r="I3193" s="186"/>
      <c r="J3193" s="186" t="s">
        <v>223</v>
      </c>
      <c r="K3193" s="194">
        <f>SUM(K3187:K3192)</f>
        <v>135.51758879935497</v>
      </c>
      <c r="L3193" s="186"/>
      <c r="M3193" s="50"/>
      <c r="N3193" s="50"/>
      <c r="P3193" s="9"/>
      <c r="Q3193" s="34"/>
      <c r="R3193" s="5"/>
      <c r="S3193" s="35"/>
    </row>
    <row r="3194" spans="1:21" ht="30" customHeight="1" x14ac:dyDescent="0.35">
      <c r="A3194" s="186"/>
      <c r="B3194" s="567"/>
      <c r="C3194" s="567"/>
      <c r="D3194" s="567"/>
      <c r="E3194" s="194"/>
      <c r="F3194" s="1215" t="s">
        <v>195</v>
      </c>
      <c r="G3194" s="1273" t="s">
        <v>196</v>
      </c>
      <c r="H3194" s="1273"/>
      <c r="I3194" s="1273"/>
      <c r="J3194" s="1273"/>
      <c r="K3194" s="196">
        <v>1.06</v>
      </c>
      <c r="L3194" s="186"/>
      <c r="M3194" s="50"/>
      <c r="P3194" s="9"/>
      <c r="Q3194" s="34"/>
      <c r="R3194" s="5"/>
      <c r="S3194" s="35"/>
    </row>
    <row r="3195" spans="1:21" ht="30" customHeight="1" x14ac:dyDescent="0.35">
      <c r="A3195" s="186"/>
      <c r="B3195" s="567"/>
      <c r="C3195" s="567"/>
      <c r="D3195" s="567"/>
      <c r="E3195" s="194"/>
      <c r="F3195" s="1216"/>
      <c r="G3195" s="1491" t="s">
        <v>2477</v>
      </c>
      <c r="H3195" s="1413"/>
      <c r="I3195" s="1413"/>
      <c r="J3195" s="1414"/>
      <c r="K3195" s="196">
        <v>1.05</v>
      </c>
      <c r="L3195" s="186"/>
      <c r="M3195" s="50"/>
      <c r="N3195" s="50"/>
      <c r="O3195" s="572"/>
      <c r="P3195" s="9"/>
      <c r="Q3195" s="34"/>
      <c r="R3195" s="5"/>
      <c r="S3195" s="35"/>
    </row>
    <row r="3196" spans="1:21" ht="30" customHeight="1" x14ac:dyDescent="0.35">
      <c r="A3196" s="186"/>
      <c r="B3196" s="186"/>
      <c r="C3196" s="503"/>
      <c r="D3196" s="503"/>
      <c r="E3196" s="503"/>
      <c r="F3196" s="503"/>
      <c r="G3196" s="503"/>
      <c r="H3196" s="503"/>
      <c r="I3196" s="503"/>
      <c r="J3196" s="186" t="s">
        <v>37</v>
      </c>
      <c r="K3196" s="193">
        <f>+K3193*K3194/K3195</f>
        <v>136.80823250220595</v>
      </c>
      <c r="L3196" s="186" t="s">
        <v>108</v>
      </c>
      <c r="M3196" s="50"/>
      <c r="N3196" s="50"/>
      <c r="P3196" s="9"/>
      <c r="Q3196" s="34"/>
      <c r="R3196" s="5"/>
      <c r="S3196" s="35"/>
    </row>
    <row r="3197" spans="1:21" ht="30" customHeight="1" x14ac:dyDescent="0.35">
      <c r="A3197" s="503"/>
      <c r="B3197" s="503"/>
      <c r="C3197" s="503"/>
      <c r="D3197" s="503"/>
      <c r="E3197" s="503"/>
      <c r="F3197" s="503"/>
      <c r="G3197" s="1364" t="s">
        <v>257</v>
      </c>
      <c r="H3197" s="1364"/>
      <c r="I3197" s="1364"/>
      <c r="J3197" s="560">
        <f>VLOOKUP(B3185,'Mil Cost Premiums for PUCs'!$A$4:$R$285,18,FALSE)</f>
        <v>1.2981950150858137</v>
      </c>
      <c r="K3197" s="193">
        <f>+K3196*J3197</f>
        <v>177.60376545706475</v>
      </c>
      <c r="L3197" s="186" t="s">
        <v>108</v>
      </c>
      <c r="M3197" s="50"/>
      <c r="N3197" s="50"/>
      <c r="P3197" s="9"/>
      <c r="Q3197" s="34"/>
      <c r="R3197" s="5"/>
      <c r="S3197" s="35"/>
    </row>
    <row r="3198" spans="1:21" ht="30" customHeight="1" thickBot="1" x14ac:dyDescent="0.4">
      <c r="A3198" s="503"/>
      <c r="B3198" s="503"/>
      <c r="C3198" s="503"/>
      <c r="D3198" s="503"/>
      <c r="E3198" s="503"/>
      <c r="F3198" s="503"/>
      <c r="G3198" s="1497" t="s">
        <v>3000</v>
      </c>
      <c r="H3198" s="1498"/>
      <c r="I3198" s="1499"/>
      <c r="J3198" s="560">
        <v>1.0438745311870361</v>
      </c>
      <c r="K3198" s="193">
        <f>+K3197*J3198</f>
        <v>185.39604740354579</v>
      </c>
      <c r="L3198" s="186" t="s">
        <v>108</v>
      </c>
      <c r="M3198" s="50"/>
      <c r="N3198" s="50"/>
      <c r="P3198" s="9"/>
      <c r="Q3198" s="34"/>
      <c r="R3198" s="5"/>
      <c r="S3198" s="35"/>
    </row>
    <row r="3199" spans="1:21" ht="30" customHeight="1" thickBot="1" x14ac:dyDescent="0.4">
      <c r="A3199" s="1199"/>
      <c r="B3199" s="1200"/>
      <c r="C3199" s="1200"/>
      <c r="D3199" s="1200"/>
      <c r="E3199" s="1200"/>
      <c r="F3199" s="1200"/>
      <c r="G3199" s="1200"/>
      <c r="H3199" s="1200"/>
      <c r="I3199" s="1200"/>
      <c r="J3199" s="1200"/>
      <c r="K3199" s="1200"/>
      <c r="L3199" s="1201"/>
      <c r="M3199" s="50"/>
      <c r="N3199" s="50"/>
      <c r="P3199" s="9"/>
      <c r="Q3199" s="34"/>
      <c r="R3199" s="5"/>
      <c r="S3199" s="35"/>
    </row>
    <row r="3200" spans="1:21" ht="30" customHeight="1" x14ac:dyDescent="0.35">
      <c r="A3200" s="388" t="s">
        <v>1</v>
      </c>
      <c r="B3200" s="389">
        <v>7350</v>
      </c>
      <c r="C3200" s="1205" t="s">
        <v>1388</v>
      </c>
      <c r="D3200" s="1206"/>
      <c r="E3200" s="392" t="s">
        <v>3</v>
      </c>
      <c r="F3200" s="393" t="s">
        <v>108</v>
      </c>
      <c r="G3200" s="529" t="s">
        <v>1381</v>
      </c>
      <c r="H3200" s="132">
        <v>1472</v>
      </c>
      <c r="I3200" s="392" t="s">
        <v>5</v>
      </c>
      <c r="J3200" s="1207" t="s">
        <v>2874</v>
      </c>
      <c r="K3200" s="1207"/>
      <c r="L3200" s="1208"/>
      <c r="M3200" s="50"/>
      <c r="N3200" s="50"/>
      <c r="P3200" s="9"/>
      <c r="Q3200" s="34"/>
      <c r="R3200" s="5"/>
      <c r="S3200" s="35"/>
    </row>
    <row r="3201" spans="1:19" ht="30" customHeight="1" x14ac:dyDescent="0.35">
      <c r="A3201" s="494" t="s">
        <v>187</v>
      </c>
      <c r="B3201" s="1280" t="s">
        <v>211</v>
      </c>
      <c r="C3201" s="1281"/>
      <c r="D3201" s="1282"/>
      <c r="E3201" s="566" t="s">
        <v>52</v>
      </c>
      <c r="F3201" s="566" t="s">
        <v>53</v>
      </c>
      <c r="G3201" s="1219" t="s">
        <v>54</v>
      </c>
      <c r="H3201" s="1220"/>
      <c r="I3201" s="185" t="s">
        <v>188</v>
      </c>
      <c r="J3201" s="185"/>
      <c r="K3201" s="1209" t="s">
        <v>180</v>
      </c>
      <c r="L3201" s="1210"/>
      <c r="M3201" s="50"/>
      <c r="N3201" s="50"/>
      <c r="O3201" s="5"/>
      <c r="P3201" s="9"/>
      <c r="Q3201" s="34"/>
      <c r="R3201" s="5"/>
      <c r="S3201" s="35"/>
    </row>
    <row r="3202" spans="1:19" ht="30" customHeight="1" x14ac:dyDescent="0.35">
      <c r="A3202" s="790" t="s">
        <v>1382</v>
      </c>
      <c r="B3202" s="1202" t="s">
        <v>2889</v>
      </c>
      <c r="C3202" s="1203"/>
      <c r="D3202" s="1204"/>
      <c r="E3202" s="194">
        <v>96</v>
      </c>
      <c r="F3202" s="422" t="s">
        <v>108</v>
      </c>
      <c r="G3202" s="707"/>
      <c r="H3202" s="708"/>
      <c r="I3202" s="186">
        <v>1.1000000000000001</v>
      </c>
      <c r="J3202" s="186"/>
      <c r="K3202" s="194">
        <f>+E3202*I3202</f>
        <v>105.60000000000001</v>
      </c>
      <c r="L3202" s="186" t="s">
        <v>108</v>
      </c>
      <c r="M3202" s="50"/>
      <c r="N3202" s="50"/>
      <c r="O3202" s="15"/>
      <c r="P3202" s="9"/>
      <c r="Q3202" s="34"/>
      <c r="R3202" s="5"/>
      <c r="S3202" s="35"/>
    </row>
    <row r="3203" spans="1:19" ht="30" customHeight="1" x14ac:dyDescent="0.35">
      <c r="A3203" s="186"/>
      <c r="B3203" s="567"/>
      <c r="C3203" s="567"/>
      <c r="D3203" s="567"/>
      <c r="E3203" s="194"/>
      <c r="F3203" s="1215" t="s">
        <v>195</v>
      </c>
      <c r="G3203" s="1273" t="s">
        <v>196</v>
      </c>
      <c r="H3203" s="1273"/>
      <c r="I3203" s="1273"/>
      <c r="J3203" s="1273"/>
      <c r="K3203" s="196">
        <v>1.05</v>
      </c>
      <c r="L3203" s="186"/>
      <c r="M3203" s="96"/>
      <c r="N3203" s="50"/>
      <c r="O3203" s="5"/>
      <c r="P3203" s="9"/>
      <c r="Q3203" s="34"/>
      <c r="R3203" s="5"/>
      <c r="S3203" s="35"/>
    </row>
    <row r="3204" spans="1:19" ht="30" customHeight="1" x14ac:dyDescent="0.35">
      <c r="A3204" s="186"/>
      <c r="B3204" s="567"/>
      <c r="C3204" s="567"/>
      <c r="D3204" s="567"/>
      <c r="E3204" s="194"/>
      <c r="F3204" s="1216"/>
      <c r="G3204" s="1268" t="s">
        <v>2875</v>
      </c>
      <c r="H3204" s="1268"/>
      <c r="I3204" s="1268"/>
      <c r="J3204" s="1268"/>
      <c r="K3204" s="196">
        <v>1.07</v>
      </c>
      <c r="L3204" s="186"/>
      <c r="M3204" s="50"/>
      <c r="N3204" s="50"/>
      <c r="O3204" s="5"/>
      <c r="P3204" s="9"/>
      <c r="Q3204" s="34"/>
      <c r="R3204" s="5"/>
      <c r="S3204" s="35"/>
    </row>
    <row r="3205" spans="1:19" ht="30" customHeight="1" x14ac:dyDescent="0.35">
      <c r="A3205" s="186"/>
      <c r="B3205" s="186"/>
      <c r="C3205" s="503"/>
      <c r="D3205" s="503"/>
      <c r="E3205" s="503"/>
      <c r="F3205" s="503"/>
      <c r="G3205" s="503"/>
      <c r="H3205" s="503"/>
      <c r="I3205" s="503"/>
      <c r="J3205" s="186" t="s">
        <v>37</v>
      </c>
      <c r="K3205" s="193">
        <f>+K3202*K3203/K3204</f>
        <v>103.62616822429906</v>
      </c>
      <c r="L3205" s="186" t="s">
        <v>108</v>
      </c>
      <c r="M3205" s="50"/>
      <c r="N3205" s="50"/>
      <c r="O3205" s="5"/>
      <c r="P3205" s="9"/>
      <c r="Q3205" s="34"/>
      <c r="R3205" s="5"/>
      <c r="S3205" s="35"/>
    </row>
    <row r="3206" spans="1:19" ht="30" customHeight="1" thickBot="1" x14ac:dyDescent="0.4">
      <c r="A3206" s="186"/>
      <c r="B3206" s="186"/>
      <c r="C3206" s="503"/>
      <c r="D3206" s="503"/>
      <c r="E3206" s="503"/>
      <c r="F3206" s="503"/>
      <c r="G3206" s="1194" t="s">
        <v>257</v>
      </c>
      <c r="H3206" s="1195"/>
      <c r="I3206" s="1196"/>
      <c r="J3206" s="560">
        <f>VLOOKUP(B3200,'Mil Cost Premiums for PUCs'!$A$4:$R$285,18,FALSE)</f>
        <v>1.1080418597902797</v>
      </c>
      <c r="K3206" s="193">
        <f>+K3205*J3206</f>
        <v>114.82213216219272</v>
      </c>
      <c r="L3206" s="186" t="s">
        <v>108</v>
      </c>
      <c r="M3206" s="50"/>
      <c r="N3206" s="50"/>
      <c r="O3206" s="1023"/>
      <c r="P3206" s="9"/>
      <c r="Q3206" s="34"/>
      <c r="R3206" s="5"/>
      <c r="S3206" s="35"/>
    </row>
    <row r="3207" spans="1:19" ht="30" customHeight="1" thickBot="1" x14ac:dyDescent="0.4">
      <c r="A3207" s="1199"/>
      <c r="B3207" s="1200"/>
      <c r="C3207" s="1200"/>
      <c r="D3207" s="1200"/>
      <c r="E3207" s="1200"/>
      <c r="F3207" s="1200"/>
      <c r="G3207" s="1200"/>
      <c r="H3207" s="1200"/>
      <c r="I3207" s="1200"/>
      <c r="J3207" s="1200"/>
      <c r="K3207" s="1200"/>
      <c r="L3207" s="1201"/>
      <c r="N3207" s="50"/>
      <c r="O3207" s="5"/>
      <c r="P3207" s="9"/>
      <c r="Q3207" s="34"/>
      <c r="R3207" s="5"/>
      <c r="S3207" s="35"/>
    </row>
    <row r="3208" spans="1:19" ht="30" customHeight="1" x14ac:dyDescent="0.35">
      <c r="A3208" s="1029" t="s">
        <v>1</v>
      </c>
      <c r="B3208" s="1030">
        <v>7351</v>
      </c>
      <c r="C3208" s="1489" t="s">
        <v>1389</v>
      </c>
      <c r="D3208" s="1490"/>
      <c r="E3208" s="1031" t="s">
        <v>3</v>
      </c>
      <c r="F3208" s="1032" t="s">
        <v>108</v>
      </c>
      <c r="G3208" s="390" t="s">
        <v>38</v>
      </c>
      <c r="H3208" s="1033">
        <v>10991.0430365296</v>
      </c>
      <c r="I3208" s="392" t="s">
        <v>5</v>
      </c>
      <c r="J3208" s="1207" t="s">
        <v>2481</v>
      </c>
      <c r="K3208" s="1207"/>
      <c r="L3208" s="1208"/>
      <c r="M3208" s="50"/>
      <c r="N3208" s="50"/>
      <c r="O3208" s="5"/>
      <c r="P3208" s="9"/>
      <c r="Q3208" s="34"/>
      <c r="R3208" s="5"/>
      <c r="S3208" s="35"/>
    </row>
    <row r="3209" spans="1:19" ht="30" customHeight="1" x14ac:dyDescent="0.35">
      <c r="A3209" s="1034" t="s">
        <v>187</v>
      </c>
      <c r="B3209" s="1416" t="s">
        <v>211</v>
      </c>
      <c r="C3209" s="1417"/>
      <c r="D3209" s="1418"/>
      <c r="E3209" s="1035" t="s">
        <v>52</v>
      </c>
      <c r="F3209" s="1035" t="s">
        <v>53</v>
      </c>
      <c r="G3209" s="1419" t="s">
        <v>54</v>
      </c>
      <c r="H3209" s="1420"/>
      <c r="I3209" s="185" t="s">
        <v>1051</v>
      </c>
      <c r="J3209" s="185" t="s">
        <v>188</v>
      </c>
      <c r="K3209" s="1209" t="s">
        <v>180</v>
      </c>
      <c r="L3209" s="1210"/>
      <c r="M3209" s="50"/>
      <c r="N3209" s="50"/>
      <c r="O3209" s="5"/>
      <c r="P3209" s="9"/>
      <c r="Q3209" s="34"/>
      <c r="R3209" s="5"/>
      <c r="S3209" s="35"/>
    </row>
    <row r="3210" spans="1:19" ht="30" customHeight="1" x14ac:dyDescent="0.35">
      <c r="A3210" s="1036" t="s">
        <v>2520</v>
      </c>
      <c r="B3210" s="1494" t="s">
        <v>2519</v>
      </c>
      <c r="C3210" s="1495"/>
      <c r="D3210" s="1496"/>
      <c r="E3210" s="1037">
        <v>136</v>
      </c>
      <c r="F3210" s="1038" t="s">
        <v>108</v>
      </c>
      <c r="G3210" s="1039"/>
      <c r="H3210" s="1040"/>
      <c r="I3210" s="278"/>
      <c r="J3210" s="1041">
        <v>1.28</v>
      </c>
      <c r="K3210" s="1037">
        <f>+E3210*J3210</f>
        <v>174.08</v>
      </c>
      <c r="L3210" s="1041" t="s">
        <v>108</v>
      </c>
      <c r="M3210" s="50"/>
      <c r="N3210" s="50"/>
      <c r="O3210" s="5"/>
      <c r="P3210" s="9"/>
      <c r="Q3210" s="34"/>
      <c r="R3210" s="5"/>
      <c r="S3210" s="35"/>
    </row>
    <row r="3211" spans="1:19" ht="30" customHeight="1" x14ac:dyDescent="0.35">
      <c r="A3211" s="1042" t="s">
        <v>438</v>
      </c>
      <c r="B3211" s="1494" t="s">
        <v>1405</v>
      </c>
      <c r="C3211" s="1495"/>
      <c r="D3211" s="1496"/>
      <c r="E3211" s="1037">
        <v>4.26</v>
      </c>
      <c r="F3211" s="1041" t="s">
        <v>108</v>
      </c>
      <c r="G3211" s="1043"/>
      <c r="H3211" s="1041"/>
      <c r="I3211" s="1044"/>
      <c r="J3211" s="1041">
        <v>1.28</v>
      </c>
      <c r="K3211" s="1037">
        <f>+E3211*J3211</f>
        <v>5.4527999999999999</v>
      </c>
      <c r="L3211" s="1041" t="s">
        <v>108</v>
      </c>
      <c r="M3211" s="50"/>
      <c r="N3211" s="50"/>
      <c r="O3211" s="5"/>
      <c r="P3211" s="9"/>
      <c r="Q3211" s="34"/>
      <c r="R3211" s="5"/>
      <c r="S3211" s="35"/>
    </row>
    <row r="3212" spans="1:19" ht="30" customHeight="1" x14ac:dyDescent="0.35">
      <c r="A3212" s="1042" t="s">
        <v>1394</v>
      </c>
      <c r="B3212" s="1447" t="s">
        <v>2521</v>
      </c>
      <c r="C3212" s="1448"/>
      <c r="D3212" s="1449"/>
      <c r="E3212" s="1045">
        <v>60500</v>
      </c>
      <c r="F3212" s="1046" t="s">
        <v>40</v>
      </c>
      <c r="G3212" s="1037">
        <f>+E3212/H3208</f>
        <v>5.5044821313976726</v>
      </c>
      <c r="H3212" s="1047" t="s">
        <v>2500</v>
      </c>
      <c r="I3212" s="1044"/>
      <c r="J3212" s="1041">
        <v>1.28</v>
      </c>
      <c r="K3212" s="1045">
        <f>+G3212*J3212</f>
        <v>7.0457371281890211</v>
      </c>
      <c r="L3212" s="1041" t="s">
        <v>108</v>
      </c>
      <c r="M3212" s="96"/>
      <c r="N3212" s="50"/>
      <c r="O3212" s="5"/>
      <c r="P3212" s="9"/>
      <c r="Q3212" s="34"/>
      <c r="R3212" s="5"/>
      <c r="S3212" s="35"/>
    </row>
    <row r="3213" spans="1:19" ht="30" customHeight="1" x14ac:dyDescent="0.35">
      <c r="A3213" s="1041"/>
      <c r="B3213" s="1494"/>
      <c r="C3213" s="1495"/>
      <c r="D3213" s="1496"/>
      <c r="E3213" s="1037"/>
      <c r="F3213" s="1041"/>
      <c r="G3213" s="1041"/>
      <c r="H3213" s="1041"/>
      <c r="I3213" s="1041"/>
      <c r="J3213" s="186" t="s">
        <v>223</v>
      </c>
      <c r="K3213" s="1037">
        <f>SUM(K3210:K3212)</f>
        <v>186.57853712818903</v>
      </c>
      <c r="L3213" s="1041" t="s">
        <v>108</v>
      </c>
      <c r="M3213" s="96"/>
      <c r="N3213" s="50"/>
      <c r="O3213" s="5"/>
      <c r="P3213" s="9"/>
      <c r="Q3213" s="34"/>
      <c r="R3213" s="5"/>
      <c r="S3213" s="35"/>
    </row>
    <row r="3214" spans="1:19" ht="30" customHeight="1" x14ac:dyDescent="0.35">
      <c r="A3214" s="186"/>
      <c r="B3214" s="567"/>
      <c r="C3214" s="567"/>
      <c r="D3214" s="567"/>
      <c r="E3214" s="194"/>
      <c r="F3214" s="1215" t="s">
        <v>195</v>
      </c>
      <c r="G3214" s="1273" t="s">
        <v>196</v>
      </c>
      <c r="H3214" s="1273"/>
      <c r="I3214" s="1273"/>
      <c r="J3214" s="1273"/>
      <c r="K3214" s="196">
        <v>1.06</v>
      </c>
      <c r="L3214" s="186"/>
      <c r="M3214" s="50"/>
      <c r="N3214" s="50"/>
      <c r="O3214" s="5"/>
      <c r="P3214" s="9"/>
      <c r="Q3214" s="34"/>
      <c r="R3214" s="5"/>
      <c r="S3214" s="35"/>
    </row>
    <row r="3215" spans="1:19" ht="30" customHeight="1" x14ac:dyDescent="0.35">
      <c r="A3215" s="186"/>
      <c r="B3215" s="567"/>
      <c r="C3215" s="567"/>
      <c r="D3215" s="567"/>
      <c r="E3215" s="194"/>
      <c r="F3215" s="1216"/>
      <c r="G3215" s="1491" t="s">
        <v>2477</v>
      </c>
      <c r="H3215" s="1413"/>
      <c r="I3215" s="1413"/>
      <c r="J3215" s="1414"/>
      <c r="K3215" s="196">
        <v>1.05</v>
      </c>
      <c r="L3215" s="186"/>
      <c r="M3215" s="50"/>
      <c r="O3215" s="5"/>
      <c r="P3215" s="9"/>
      <c r="Q3215" s="34"/>
      <c r="R3215" s="5"/>
      <c r="S3215" s="35"/>
    </row>
    <row r="3216" spans="1:19" ht="30" customHeight="1" x14ac:dyDescent="0.35">
      <c r="A3216" s="1041"/>
      <c r="B3216" s="1041"/>
      <c r="C3216" s="1048"/>
      <c r="D3216" s="1048"/>
      <c r="E3216" s="1048"/>
      <c r="F3216" s="1048"/>
      <c r="G3216" s="1048"/>
      <c r="H3216" s="1048"/>
      <c r="I3216" s="1048"/>
      <c r="J3216" s="1048" t="s">
        <v>37</v>
      </c>
      <c r="K3216" s="1049">
        <f>+K3213*K3214/K3215</f>
        <v>188.35547557702893</v>
      </c>
      <c r="L3216" s="1041" t="s">
        <v>108</v>
      </c>
      <c r="M3216" s="50"/>
      <c r="N3216" s="50"/>
      <c r="O3216" s="5"/>
      <c r="P3216" s="9"/>
      <c r="Q3216" s="34"/>
      <c r="R3216" s="5"/>
      <c r="S3216" s="35"/>
    </row>
    <row r="3217" spans="1:19" ht="30" customHeight="1" x14ac:dyDescent="0.35">
      <c r="A3217" s="1041"/>
      <c r="B3217" s="1041"/>
      <c r="C3217" s="1048"/>
      <c r="D3217" s="1048"/>
      <c r="E3217" s="1048"/>
      <c r="F3217" s="1048"/>
      <c r="G3217" s="1364" t="s">
        <v>257</v>
      </c>
      <c r="H3217" s="1364"/>
      <c r="I3217" s="1364"/>
      <c r="J3217" s="560">
        <f>VLOOKUP(B3208,'Mil Cost Premiums for PUCs'!$A$4:$R$285,18,FALSE)</f>
        <v>1.3319480854780448</v>
      </c>
      <c r="K3217" s="1049">
        <f>+K3216*J3217</f>
        <v>250.87971508413031</v>
      </c>
      <c r="L3217" s="1041" t="s">
        <v>108</v>
      </c>
      <c r="M3217" s="100"/>
      <c r="N3217" s="50"/>
      <c r="O3217" s="5"/>
      <c r="P3217" s="9"/>
      <c r="Q3217" s="34"/>
      <c r="R3217" s="5"/>
      <c r="S3217" s="35"/>
    </row>
    <row r="3218" spans="1:19" ht="30" customHeight="1" thickBot="1" x14ac:dyDescent="0.4">
      <c r="A3218" s="1041"/>
      <c r="B3218" s="1041"/>
      <c r="C3218" s="1048"/>
      <c r="D3218" s="1048"/>
      <c r="E3218" s="1048"/>
      <c r="F3218" s="1048"/>
      <c r="G3218" s="1497" t="s">
        <v>3000</v>
      </c>
      <c r="H3218" s="1498"/>
      <c r="I3218" s="1499"/>
      <c r="J3218" s="560">
        <v>1.0438745311870361</v>
      </c>
      <c r="K3218" s="1049">
        <f>+K3217*J3218</f>
        <v>261.88694496778373</v>
      </c>
      <c r="L3218" s="1041" t="s">
        <v>108</v>
      </c>
      <c r="M3218" s="100"/>
      <c r="N3218" s="53"/>
      <c r="O3218" s="5"/>
      <c r="P3218" s="9"/>
      <c r="Q3218" s="34"/>
      <c r="R3218" s="5"/>
      <c r="S3218" s="35"/>
    </row>
    <row r="3219" spans="1:19" ht="30" customHeight="1" thickBot="1" x14ac:dyDescent="0.4">
      <c r="A3219" s="1199"/>
      <c r="B3219" s="1200"/>
      <c r="C3219" s="1200"/>
      <c r="D3219" s="1200"/>
      <c r="E3219" s="1200"/>
      <c r="F3219" s="1200"/>
      <c r="G3219" s="1200"/>
      <c r="H3219" s="1200"/>
      <c r="I3219" s="1200"/>
      <c r="J3219" s="1200"/>
      <c r="K3219" s="1200"/>
      <c r="L3219" s="1201"/>
      <c r="M3219" s="50"/>
      <c r="N3219" s="50"/>
      <c r="O3219" s="5"/>
      <c r="P3219" s="9"/>
      <c r="Q3219" s="34"/>
      <c r="R3219" s="5"/>
      <c r="S3219" s="35"/>
    </row>
    <row r="3220" spans="1:19" ht="30" customHeight="1" x14ac:dyDescent="0.35">
      <c r="A3220" s="388" t="s">
        <v>1</v>
      </c>
      <c r="B3220" s="389">
        <v>7352</v>
      </c>
      <c r="C3220" s="1290" t="s">
        <v>2475</v>
      </c>
      <c r="D3220" s="1291"/>
      <c r="E3220" s="392" t="s">
        <v>3</v>
      </c>
      <c r="F3220" s="393" t="s">
        <v>108</v>
      </c>
      <c r="G3220" s="390" t="s">
        <v>38</v>
      </c>
      <c r="H3220" s="134">
        <v>32600.46</v>
      </c>
      <c r="I3220" s="392" t="s">
        <v>5</v>
      </c>
      <c r="J3220" s="1207" t="s">
        <v>2861</v>
      </c>
      <c r="K3220" s="1207"/>
      <c r="L3220" s="1208"/>
      <c r="M3220" s="50"/>
      <c r="N3220" s="50"/>
      <c r="O3220" s="5"/>
      <c r="P3220" s="9"/>
      <c r="Q3220" s="34"/>
      <c r="R3220" s="5"/>
      <c r="S3220" s="35"/>
    </row>
    <row r="3221" spans="1:19" ht="30" customHeight="1" x14ac:dyDescent="0.35">
      <c r="A3221" s="185" t="s">
        <v>177</v>
      </c>
      <c r="B3221" s="1272" t="s">
        <v>7</v>
      </c>
      <c r="C3221" s="1272"/>
      <c r="D3221" s="1272"/>
      <c r="E3221" s="492" t="s">
        <v>178</v>
      </c>
      <c r="F3221" s="397" t="s">
        <v>52</v>
      </c>
      <c r="G3221" s="1221"/>
      <c r="H3221" s="1222"/>
      <c r="I3221" s="1223" t="s">
        <v>56</v>
      </c>
      <c r="J3221" s="1224"/>
      <c r="K3221" s="1209" t="s">
        <v>180</v>
      </c>
      <c r="L3221" s="1210"/>
      <c r="M3221" s="50"/>
      <c r="N3221" s="50"/>
    </row>
    <row r="3222" spans="1:19" ht="30" customHeight="1" x14ac:dyDescent="0.35">
      <c r="A3222" s="401" t="s">
        <v>181</v>
      </c>
      <c r="B3222" s="1265" t="s">
        <v>2474</v>
      </c>
      <c r="C3222" s="1265"/>
      <c r="D3222" s="1265"/>
      <c r="E3222" s="531">
        <v>130000</v>
      </c>
      <c r="F3222" s="187">
        <v>420</v>
      </c>
      <c r="G3222" s="1625"/>
      <c r="H3222" s="1626"/>
      <c r="I3222" s="1217" t="s">
        <v>2860</v>
      </c>
      <c r="J3222" s="1218"/>
      <c r="K3222" s="187">
        <f>+F3222</f>
        <v>420</v>
      </c>
      <c r="L3222" s="401" t="s">
        <v>108</v>
      </c>
      <c r="M3222" s="50"/>
      <c r="N3222" s="50"/>
      <c r="O3222" s="5"/>
      <c r="P3222" s="9"/>
      <c r="Q3222" s="34"/>
      <c r="R3222" s="5"/>
      <c r="S3222" s="35"/>
    </row>
    <row r="3223" spans="1:19" ht="30" customHeight="1" thickBot="1" x14ac:dyDescent="0.4">
      <c r="A3223" s="186"/>
      <c r="B3223" s="1264"/>
      <c r="C3223" s="1264"/>
      <c r="D3223" s="1264"/>
      <c r="E3223" s="535"/>
      <c r="F3223" s="536"/>
      <c r="G3223" s="536"/>
      <c r="H3223" s="537"/>
      <c r="I3223" s="503"/>
      <c r="J3223" s="494" t="s">
        <v>37</v>
      </c>
      <c r="K3223" s="193">
        <f>+K3222</f>
        <v>420</v>
      </c>
      <c r="L3223" s="186" t="s">
        <v>108</v>
      </c>
      <c r="M3223" s="96"/>
      <c r="N3223" s="50"/>
      <c r="O3223" s="5"/>
      <c r="P3223" s="9"/>
      <c r="Q3223" s="34"/>
      <c r="R3223" s="5"/>
      <c r="S3223" s="35"/>
    </row>
    <row r="3224" spans="1:19" ht="30" customHeight="1" thickBot="1" x14ac:dyDescent="0.4">
      <c r="A3224" s="1199"/>
      <c r="B3224" s="1200"/>
      <c r="C3224" s="1200"/>
      <c r="D3224" s="1200"/>
      <c r="E3224" s="1200"/>
      <c r="F3224" s="1200"/>
      <c r="G3224" s="1200"/>
      <c r="H3224" s="1200"/>
      <c r="I3224" s="1200"/>
      <c r="J3224" s="1200"/>
      <c r="K3224" s="1200"/>
      <c r="L3224" s="1201"/>
      <c r="N3224" s="50"/>
      <c r="O3224" s="5"/>
      <c r="P3224" s="9"/>
      <c r="Q3224" s="34"/>
      <c r="R3224" s="5"/>
      <c r="S3224" s="35"/>
    </row>
    <row r="3225" spans="1:19" ht="30" customHeight="1" x14ac:dyDescent="0.35">
      <c r="A3225" s="388" t="s">
        <v>1</v>
      </c>
      <c r="B3225" s="389">
        <v>7353</v>
      </c>
      <c r="C3225" s="1290" t="s">
        <v>1395</v>
      </c>
      <c r="D3225" s="1291"/>
      <c r="E3225" s="392" t="s">
        <v>3</v>
      </c>
      <c r="F3225" s="562" t="s">
        <v>108</v>
      </c>
      <c r="G3225" s="390" t="s">
        <v>38</v>
      </c>
      <c r="H3225" s="886">
        <v>5667</v>
      </c>
      <c r="I3225" s="392" t="s">
        <v>5</v>
      </c>
      <c r="J3225" s="1207" t="s">
        <v>186</v>
      </c>
      <c r="K3225" s="1207"/>
      <c r="L3225" s="1208"/>
      <c r="M3225" s="50"/>
      <c r="N3225" s="50"/>
      <c r="O3225" s="5"/>
      <c r="P3225" s="9"/>
      <c r="Q3225" s="34"/>
      <c r="R3225" s="5"/>
      <c r="S3225" s="35"/>
    </row>
    <row r="3226" spans="1:19" ht="30" customHeight="1" x14ac:dyDescent="0.35">
      <c r="A3226" s="494" t="s">
        <v>187</v>
      </c>
      <c r="B3226" s="1280" t="s">
        <v>211</v>
      </c>
      <c r="C3226" s="1281"/>
      <c r="D3226" s="1282"/>
      <c r="E3226" s="566" t="s">
        <v>52</v>
      </c>
      <c r="F3226" s="566" t="s">
        <v>53</v>
      </c>
      <c r="G3226" s="1219" t="s">
        <v>54</v>
      </c>
      <c r="H3226" s="1220"/>
      <c r="I3226" s="185" t="s">
        <v>188</v>
      </c>
      <c r="J3226" s="185"/>
      <c r="K3226" s="1209" t="s">
        <v>180</v>
      </c>
      <c r="L3226" s="1210"/>
      <c r="M3226" s="50"/>
      <c r="N3226" s="50"/>
      <c r="O3226" s="5"/>
      <c r="P3226" s="9"/>
      <c r="Q3226" s="34"/>
      <c r="R3226" s="5"/>
      <c r="S3226" s="35"/>
    </row>
    <row r="3227" spans="1:19" ht="30" customHeight="1" x14ac:dyDescent="0.35">
      <c r="A3227" s="985" t="s">
        <v>1417</v>
      </c>
      <c r="B3227" s="1202" t="s">
        <v>2454</v>
      </c>
      <c r="C3227" s="1203"/>
      <c r="D3227" s="1204"/>
      <c r="E3227" s="194">
        <v>168</v>
      </c>
      <c r="F3227" s="186" t="s">
        <v>108</v>
      </c>
      <c r="G3227" s="186"/>
      <c r="H3227" s="186"/>
      <c r="I3227" s="186">
        <v>1.1599999999999999</v>
      </c>
      <c r="J3227" s="204"/>
      <c r="K3227" s="194">
        <f>+E3227*I3227</f>
        <v>194.88</v>
      </c>
      <c r="L3227" s="186" t="s">
        <v>108</v>
      </c>
      <c r="N3227" s="50"/>
      <c r="O3227" s="5"/>
      <c r="P3227" s="9"/>
      <c r="Q3227" s="34"/>
      <c r="R3227" s="5"/>
      <c r="S3227" s="35"/>
    </row>
    <row r="3228" spans="1:19" ht="30" customHeight="1" x14ac:dyDescent="0.35">
      <c r="A3228" s="985" t="s">
        <v>1417</v>
      </c>
      <c r="B3228" s="1264" t="s">
        <v>2455</v>
      </c>
      <c r="C3228" s="1264"/>
      <c r="D3228" s="1264"/>
      <c r="E3228" s="193">
        <v>61</v>
      </c>
      <c r="F3228" s="186" t="s">
        <v>108</v>
      </c>
      <c r="G3228" s="917"/>
      <c r="H3228" s="534"/>
      <c r="I3228" s="186">
        <v>1.1599999999999999</v>
      </c>
      <c r="J3228" s="204"/>
      <c r="K3228" s="194">
        <f>+E3228*I3228</f>
        <v>70.759999999999991</v>
      </c>
      <c r="L3228" s="186" t="s">
        <v>108</v>
      </c>
      <c r="M3228" s="50"/>
      <c r="N3228" s="50"/>
      <c r="O3228" s="5"/>
      <c r="P3228" s="9"/>
      <c r="Q3228" s="34"/>
      <c r="R3228" s="5"/>
      <c r="S3228" s="35"/>
    </row>
    <row r="3229" spans="1:19" ht="30" customHeight="1" x14ac:dyDescent="0.35">
      <c r="A3229" s="989" t="s">
        <v>1421</v>
      </c>
      <c r="B3229" s="1264" t="s">
        <v>2456</v>
      </c>
      <c r="C3229" s="1264"/>
      <c r="D3229" s="1264"/>
      <c r="E3229" s="272">
        <v>110</v>
      </c>
      <c r="F3229" s="186" t="s">
        <v>108</v>
      </c>
      <c r="G3229" s="1050"/>
      <c r="H3229" s="792"/>
      <c r="I3229" s="186">
        <v>1.1599999999999999</v>
      </c>
      <c r="J3229" s="782"/>
      <c r="K3229" s="194">
        <f>+E3229*I3229</f>
        <v>127.6</v>
      </c>
      <c r="L3229" s="271" t="s">
        <v>108</v>
      </c>
      <c r="M3229" s="96"/>
      <c r="N3229" s="50"/>
      <c r="O3229" s="15"/>
      <c r="P3229" s="9"/>
      <c r="Q3229" s="34"/>
      <c r="R3229" s="5"/>
      <c r="S3229" s="35"/>
    </row>
    <row r="3230" spans="1:19" ht="30" customHeight="1" x14ac:dyDescent="0.35">
      <c r="A3230" s="989"/>
      <c r="B3230" s="792"/>
      <c r="C3230" s="792"/>
      <c r="D3230" s="792"/>
      <c r="E3230" s="272"/>
      <c r="F3230" s="271"/>
      <c r="G3230" s="1050"/>
      <c r="H3230" s="792"/>
      <c r="I3230" s="271"/>
      <c r="J3230" s="782" t="s">
        <v>192</v>
      </c>
      <c r="K3230" s="279">
        <f>AVERAGE(K3227:K3229)</f>
        <v>131.08000000000001</v>
      </c>
      <c r="L3230" s="271" t="s">
        <v>108</v>
      </c>
      <c r="M3230" s="96"/>
      <c r="O3230" s="5"/>
      <c r="P3230" s="9"/>
      <c r="Q3230" s="34"/>
      <c r="R3230" s="5"/>
      <c r="S3230" s="35"/>
    </row>
    <row r="3231" spans="1:19" ht="30" customHeight="1" x14ac:dyDescent="0.35">
      <c r="A3231" s="985" t="s">
        <v>438</v>
      </c>
      <c r="B3231" s="1264" t="s">
        <v>2457</v>
      </c>
      <c r="C3231" s="1264"/>
      <c r="D3231" s="1264"/>
      <c r="E3231" s="193">
        <v>5.57</v>
      </c>
      <c r="F3231" s="186" t="s">
        <v>108</v>
      </c>
      <c r="G3231" s="998"/>
      <c r="H3231" s="534"/>
      <c r="I3231" s="186">
        <v>1.1599999999999999</v>
      </c>
      <c r="J3231" s="204"/>
      <c r="K3231" s="194">
        <f>+E3231*I3231</f>
        <v>6.4611999999999998</v>
      </c>
      <c r="L3231" s="186" t="s">
        <v>108</v>
      </c>
      <c r="M3231" s="96"/>
      <c r="N3231" s="50"/>
      <c r="O3231" s="5"/>
      <c r="P3231" s="9"/>
      <c r="Q3231" s="34"/>
      <c r="R3231" s="5"/>
      <c r="S3231" s="35"/>
    </row>
    <row r="3232" spans="1:19" ht="30" customHeight="1" x14ac:dyDescent="0.35">
      <c r="A3232" s="186"/>
      <c r="B3232" s="1264"/>
      <c r="C3232" s="1264"/>
      <c r="D3232" s="1264"/>
      <c r="E3232" s="194"/>
      <c r="F3232" s="186"/>
      <c r="G3232" s="503"/>
      <c r="H3232" s="534"/>
      <c r="I3232" s="186"/>
      <c r="J3232" s="186" t="s">
        <v>223</v>
      </c>
      <c r="K3232" s="194">
        <f>+K3231+K3230</f>
        <v>137.5412</v>
      </c>
      <c r="L3232" s="186" t="s">
        <v>108</v>
      </c>
      <c r="M3232" s="50"/>
      <c r="N3232" s="50"/>
      <c r="O3232" s="5"/>
      <c r="P3232" s="9"/>
      <c r="Q3232" s="34"/>
      <c r="R3232" s="5"/>
      <c r="S3232" s="35"/>
    </row>
    <row r="3233" spans="1:19" ht="30" customHeight="1" x14ac:dyDescent="0.35">
      <c r="A3233" s="271"/>
      <c r="B3233" s="1044"/>
      <c r="C3233" s="1044"/>
      <c r="D3233" s="1044"/>
      <c r="E3233" s="279"/>
      <c r="F3233" s="1215" t="s">
        <v>195</v>
      </c>
      <c r="G3233" s="1273" t="s">
        <v>196</v>
      </c>
      <c r="H3233" s="1273"/>
      <c r="I3233" s="1273"/>
      <c r="J3233" s="1273"/>
      <c r="K3233" s="204">
        <v>1.06</v>
      </c>
      <c r="L3233" s="186"/>
      <c r="M3233" s="50"/>
      <c r="N3233" s="50"/>
      <c r="O3233" s="5"/>
      <c r="P3233" s="9"/>
      <c r="Q3233" s="34"/>
      <c r="R3233" s="5"/>
      <c r="S3233" s="35"/>
    </row>
    <row r="3234" spans="1:19" ht="30" customHeight="1" x14ac:dyDescent="0.35">
      <c r="A3234" s="271"/>
      <c r="B3234" s="1044"/>
      <c r="C3234" s="1044"/>
      <c r="D3234" s="1044"/>
      <c r="E3234" s="279"/>
      <c r="F3234" s="1216"/>
      <c r="G3234" s="1268" t="s">
        <v>197</v>
      </c>
      <c r="H3234" s="1268"/>
      <c r="I3234" s="1268"/>
      <c r="J3234" s="1268"/>
      <c r="K3234" s="196">
        <v>1.06</v>
      </c>
      <c r="L3234" s="186"/>
      <c r="M3234" s="50"/>
      <c r="N3234" s="50"/>
      <c r="O3234" s="5"/>
      <c r="P3234" s="9"/>
      <c r="Q3234" s="34"/>
      <c r="R3234" s="5"/>
      <c r="S3234" s="35"/>
    </row>
    <row r="3235" spans="1:19" ht="30" customHeight="1" x14ac:dyDescent="0.35">
      <c r="A3235" s="280"/>
      <c r="B3235" s="280"/>
      <c r="C3235" s="280"/>
      <c r="D3235" s="280"/>
      <c r="E3235" s="278"/>
      <c r="F3235" s="503"/>
      <c r="G3235" s="503"/>
      <c r="H3235" s="503"/>
      <c r="I3235" s="503"/>
      <c r="J3235" s="186" t="s">
        <v>37</v>
      </c>
      <c r="K3235" s="193">
        <f>+K3232*K3233/K3234</f>
        <v>137.5412</v>
      </c>
      <c r="L3235" s="186" t="s">
        <v>108</v>
      </c>
      <c r="M3235" s="50"/>
      <c r="N3235" s="50"/>
      <c r="O3235" s="5"/>
      <c r="P3235" s="9"/>
      <c r="Q3235" s="34"/>
      <c r="R3235" s="5"/>
      <c r="S3235" s="35"/>
    </row>
    <row r="3236" spans="1:19" ht="30" customHeight="1" x14ac:dyDescent="0.35">
      <c r="A3236" s="864"/>
      <c r="B3236" s="864"/>
      <c r="C3236" s="864"/>
      <c r="D3236" s="864"/>
      <c r="E3236" s="510"/>
      <c r="F3236" s="510"/>
      <c r="G3236" s="1374" t="s">
        <v>257</v>
      </c>
      <c r="H3236" s="1375"/>
      <c r="I3236" s="1376"/>
      <c r="J3236" s="570">
        <f>VLOOKUP(B3225,'Mil Cost Premiums for PUCs'!$A$4:$R$285,18,FALSE)</f>
        <v>1.2841179843245845</v>
      </c>
      <c r="K3236" s="285">
        <f>+K3235*J3236</f>
        <v>176.61912850558454</v>
      </c>
      <c r="L3236" s="569" t="s">
        <v>108</v>
      </c>
      <c r="M3236" s="50"/>
      <c r="N3236" s="50"/>
      <c r="O3236" s="5"/>
      <c r="P3236" s="9"/>
      <c r="Q3236" s="34"/>
      <c r="R3236" s="5"/>
      <c r="S3236" s="35"/>
    </row>
    <row r="3237" spans="1:19" ht="30" customHeight="1" x14ac:dyDescent="0.35">
      <c r="A3237" s="569"/>
      <c r="B3237" s="569"/>
      <c r="C3237" s="510"/>
      <c r="D3237" s="510"/>
      <c r="E3237" s="510"/>
      <c r="F3237" s="510"/>
      <c r="G3237" s="1191" t="s">
        <v>2817</v>
      </c>
      <c r="H3237" s="1192"/>
      <c r="I3237" s="1193"/>
      <c r="J3237" s="570">
        <v>1.1214</v>
      </c>
      <c r="K3237" s="285">
        <f>+K3236*J3237</f>
        <v>198.06069070616249</v>
      </c>
      <c r="L3237" s="755" t="s">
        <v>108</v>
      </c>
      <c r="M3237" s="50"/>
      <c r="N3237" s="50"/>
    </row>
    <row r="3238" spans="1:19" ht="30" customHeight="1" thickBot="1" x14ac:dyDescent="0.4">
      <c r="A3238" s="569"/>
      <c r="B3238" s="569"/>
      <c r="C3238" s="510"/>
      <c r="D3238" s="510"/>
      <c r="E3238" s="510"/>
      <c r="F3238" s="510"/>
      <c r="G3238" s="1191" t="s">
        <v>3000</v>
      </c>
      <c r="H3238" s="1192"/>
      <c r="I3238" s="1193"/>
      <c r="J3238" s="570">
        <v>1.0438745311870361</v>
      </c>
      <c r="K3238" s="285">
        <f>+K3237*J3238</f>
        <v>206.75051065747593</v>
      </c>
      <c r="L3238" s="755" t="s">
        <v>108</v>
      </c>
      <c r="M3238" s="50"/>
      <c r="N3238" s="50"/>
      <c r="O3238" s="5"/>
      <c r="P3238" s="9"/>
      <c r="Q3238" s="34"/>
      <c r="R3238" s="5"/>
      <c r="S3238" s="35"/>
    </row>
    <row r="3239" spans="1:19" ht="30" customHeight="1" thickBot="1" x14ac:dyDescent="0.4">
      <c r="A3239" s="1199"/>
      <c r="B3239" s="1200"/>
      <c r="C3239" s="1200"/>
      <c r="D3239" s="1200"/>
      <c r="E3239" s="1200"/>
      <c r="F3239" s="1200"/>
      <c r="G3239" s="1200"/>
      <c r="H3239" s="1200"/>
      <c r="I3239" s="1200"/>
      <c r="J3239" s="1200"/>
      <c r="K3239" s="1200"/>
      <c r="L3239" s="1201"/>
      <c r="M3239" s="50"/>
      <c r="N3239" s="50"/>
      <c r="O3239" s="5"/>
      <c r="P3239" s="9"/>
      <c r="Q3239" s="34"/>
      <c r="R3239" s="5"/>
      <c r="S3239" s="35"/>
    </row>
    <row r="3240" spans="1:19" ht="30" customHeight="1" x14ac:dyDescent="0.35">
      <c r="A3240" s="388" t="s">
        <v>1</v>
      </c>
      <c r="B3240" s="389">
        <v>7361</v>
      </c>
      <c r="C3240" s="1290" t="s">
        <v>1396</v>
      </c>
      <c r="D3240" s="1291"/>
      <c r="E3240" s="392" t="s">
        <v>3</v>
      </c>
      <c r="F3240" s="393" t="s">
        <v>108</v>
      </c>
      <c r="G3240" s="390" t="s">
        <v>38</v>
      </c>
      <c r="H3240" s="135">
        <v>8275</v>
      </c>
      <c r="I3240" s="392" t="s">
        <v>5</v>
      </c>
      <c r="J3240" s="1207" t="s">
        <v>1124</v>
      </c>
      <c r="K3240" s="1207"/>
      <c r="L3240" s="1208"/>
      <c r="M3240" s="96"/>
      <c r="N3240" s="50"/>
      <c r="O3240" s="5"/>
      <c r="P3240" s="9"/>
      <c r="Q3240" s="34"/>
      <c r="R3240" s="5"/>
      <c r="S3240" s="35"/>
    </row>
    <row r="3241" spans="1:19" ht="30" customHeight="1" x14ac:dyDescent="0.35">
      <c r="A3241" s="185" t="s">
        <v>177</v>
      </c>
      <c r="B3241" s="1272" t="s">
        <v>7</v>
      </c>
      <c r="C3241" s="1272"/>
      <c r="D3241" s="1272"/>
      <c r="E3241" s="397" t="s">
        <v>52</v>
      </c>
      <c r="F3241" s="185" t="s">
        <v>178</v>
      </c>
      <c r="G3241" s="1292" t="s">
        <v>54</v>
      </c>
      <c r="H3241" s="1293"/>
      <c r="I3241" s="1221" t="s">
        <v>179</v>
      </c>
      <c r="J3241" s="1222"/>
      <c r="K3241" s="1209" t="s">
        <v>180</v>
      </c>
      <c r="L3241" s="1210"/>
      <c r="M3241" s="96"/>
      <c r="N3241" s="50"/>
      <c r="O3241" s="5"/>
      <c r="P3241" s="9"/>
      <c r="Q3241" s="34"/>
      <c r="R3241" s="5"/>
      <c r="S3241" s="35"/>
    </row>
    <row r="3242" spans="1:19" ht="30" customHeight="1" x14ac:dyDescent="0.35">
      <c r="A3242" s="186">
        <v>73017</v>
      </c>
      <c r="B3242" s="1202" t="s">
        <v>1397</v>
      </c>
      <c r="C3242" s="1203"/>
      <c r="D3242" s="1204"/>
      <c r="E3242" s="194">
        <v>344</v>
      </c>
      <c r="F3242" s="203">
        <v>23000</v>
      </c>
      <c r="G3242" s="525"/>
      <c r="H3242" s="401"/>
      <c r="I3242" s="1492">
        <f>+'FY2024 MILCON Inflation Table'!$F$17</f>
        <v>1.2685988100270957</v>
      </c>
      <c r="J3242" s="1493"/>
      <c r="K3242" s="189">
        <f>+E3242*I3242</f>
        <v>436.39799064932095</v>
      </c>
      <c r="L3242" s="401" t="s">
        <v>108</v>
      </c>
      <c r="M3242" s="50"/>
      <c r="N3242" s="50"/>
      <c r="O3242" s="16"/>
      <c r="P3242" s="9"/>
      <c r="Q3242" s="34"/>
      <c r="R3242" s="5"/>
      <c r="S3242" s="35"/>
    </row>
    <row r="3243" spans="1:19" ht="30" customHeight="1" thickBot="1" x14ac:dyDescent="0.4">
      <c r="A3243" s="186"/>
      <c r="B3243" s="1202"/>
      <c r="C3243" s="1203"/>
      <c r="D3243" s="1204"/>
      <c r="E3243" s="520"/>
      <c r="F3243" s="784"/>
      <c r="G3243" s="520"/>
      <c r="H3243" s="750"/>
      <c r="I3243" s="503"/>
      <c r="J3243" s="494" t="s">
        <v>37</v>
      </c>
      <c r="K3243" s="190">
        <f>SUM(K3242:K3242)</f>
        <v>436.39799064932095</v>
      </c>
      <c r="L3243" s="401" t="s">
        <v>108</v>
      </c>
      <c r="M3243" s="50"/>
      <c r="N3243" s="50"/>
      <c r="O3243" s="5"/>
      <c r="P3243" s="9"/>
      <c r="Q3243" s="34"/>
      <c r="R3243" s="5"/>
      <c r="S3243" s="35"/>
    </row>
    <row r="3244" spans="1:19" ht="30" customHeight="1" thickBot="1" x14ac:dyDescent="0.4">
      <c r="A3244" s="1199"/>
      <c r="B3244" s="1200"/>
      <c r="C3244" s="1200"/>
      <c r="D3244" s="1200"/>
      <c r="E3244" s="1200"/>
      <c r="F3244" s="1200"/>
      <c r="G3244" s="1200"/>
      <c r="H3244" s="1200"/>
      <c r="I3244" s="1200"/>
      <c r="J3244" s="1200"/>
      <c r="K3244" s="1200"/>
      <c r="L3244" s="1201"/>
      <c r="M3244" s="104"/>
      <c r="N3244" s="50"/>
      <c r="O3244" s="5"/>
      <c r="P3244" s="9"/>
      <c r="Q3244" s="34"/>
      <c r="R3244" s="5"/>
      <c r="S3244" s="35"/>
    </row>
    <row r="3245" spans="1:19" ht="30" customHeight="1" x14ac:dyDescent="0.35">
      <c r="A3245" s="1029" t="s">
        <v>1</v>
      </c>
      <c r="B3245" s="1030">
        <v>7362</v>
      </c>
      <c r="C3245" s="1623" t="s">
        <v>1398</v>
      </c>
      <c r="D3245" s="1624"/>
      <c r="E3245" s="1031" t="s">
        <v>3</v>
      </c>
      <c r="F3245" s="1051" t="s">
        <v>108</v>
      </c>
      <c r="G3245" s="390" t="s">
        <v>38</v>
      </c>
      <c r="H3245" s="1052">
        <v>5779</v>
      </c>
      <c r="I3245" s="1031" t="s">
        <v>5</v>
      </c>
      <c r="J3245" s="1207" t="s">
        <v>2874</v>
      </c>
      <c r="K3245" s="1207"/>
      <c r="L3245" s="1208"/>
      <c r="M3245" s="50"/>
      <c r="N3245" s="50"/>
      <c r="O3245" s="5"/>
      <c r="P3245" s="9"/>
      <c r="Q3245" s="34"/>
      <c r="R3245" s="5"/>
      <c r="S3245" s="35"/>
    </row>
    <row r="3246" spans="1:19" ht="30" customHeight="1" x14ac:dyDescent="0.35">
      <c r="A3246" s="1034" t="s">
        <v>187</v>
      </c>
      <c r="B3246" s="1416" t="s">
        <v>211</v>
      </c>
      <c r="C3246" s="1417"/>
      <c r="D3246" s="1418"/>
      <c r="E3246" s="1035" t="s">
        <v>52</v>
      </c>
      <c r="F3246" s="1035" t="s">
        <v>53</v>
      </c>
      <c r="G3246" s="1419" t="s">
        <v>54</v>
      </c>
      <c r="H3246" s="1420"/>
      <c r="I3246" s="1053" t="s">
        <v>1390</v>
      </c>
      <c r="J3246" s="1053"/>
      <c r="K3246" s="1209" t="s">
        <v>180</v>
      </c>
      <c r="L3246" s="1210"/>
      <c r="M3246" s="50"/>
      <c r="N3246" s="50"/>
      <c r="O3246" s="5"/>
      <c r="P3246" s="9"/>
      <c r="Q3246" s="34"/>
      <c r="R3246" s="5"/>
      <c r="S3246" s="35"/>
    </row>
    <row r="3247" spans="1:19" ht="30" customHeight="1" x14ac:dyDescent="0.35">
      <c r="A3247" s="1036" t="s">
        <v>1391</v>
      </c>
      <c r="B3247" s="1494" t="s">
        <v>1392</v>
      </c>
      <c r="C3247" s="1495"/>
      <c r="D3247" s="1496"/>
      <c r="E3247" s="1037">
        <v>171</v>
      </c>
      <c r="F3247" s="1038" t="s">
        <v>108</v>
      </c>
      <c r="G3247" s="1039"/>
      <c r="H3247" s="1040"/>
      <c r="I3247" s="1041">
        <v>0.98</v>
      </c>
      <c r="J3247" s="1041"/>
      <c r="K3247" s="1037">
        <f>+E3247*I3247</f>
        <v>167.57999999999998</v>
      </c>
      <c r="L3247" s="1041" t="s">
        <v>108</v>
      </c>
      <c r="M3247" s="50"/>
      <c r="N3247" s="50"/>
      <c r="O3247" s="5"/>
      <c r="P3247" s="9"/>
      <c r="Q3247" s="34"/>
      <c r="R3247" s="5"/>
      <c r="S3247" s="35"/>
    </row>
    <row r="3248" spans="1:19" ht="30" customHeight="1" x14ac:dyDescent="0.35">
      <c r="A3248" s="1042" t="s">
        <v>438</v>
      </c>
      <c r="B3248" s="1494" t="s">
        <v>1399</v>
      </c>
      <c r="C3248" s="1495"/>
      <c r="D3248" s="1496"/>
      <c r="E3248" s="1037">
        <v>6.09</v>
      </c>
      <c r="F3248" s="1041" t="s">
        <v>108</v>
      </c>
      <c r="G3248" s="1043">
        <v>0.121</v>
      </c>
      <c r="H3248" s="1041" t="s">
        <v>1393</v>
      </c>
      <c r="I3248" s="1041">
        <v>0.98</v>
      </c>
      <c r="J3248" s="1041"/>
      <c r="K3248" s="1037">
        <f>+E3248*G3248*I3248</f>
        <v>0.72215219999999991</v>
      </c>
      <c r="L3248" s="1041" t="s">
        <v>108</v>
      </c>
      <c r="M3248" s="50"/>
      <c r="O3248" s="5"/>
      <c r="P3248" s="9"/>
      <c r="Q3248" s="34"/>
      <c r="R3248" s="5"/>
      <c r="S3248" s="35"/>
    </row>
    <row r="3249" spans="1:26" ht="30" customHeight="1" x14ac:dyDescent="0.35">
      <c r="A3249" s="1041"/>
      <c r="B3249" s="1494"/>
      <c r="C3249" s="1495"/>
      <c r="D3249" s="1496"/>
      <c r="E3249" s="1037"/>
      <c r="F3249" s="1041"/>
      <c r="G3249" s="1041"/>
      <c r="H3249" s="1041"/>
      <c r="I3249" s="1041"/>
      <c r="J3249" s="1041" t="s">
        <v>223</v>
      </c>
      <c r="K3249" s="1037">
        <f>SUM(K3247:K3248)</f>
        <v>168.30215219999999</v>
      </c>
      <c r="L3249" s="1041" t="s">
        <v>108</v>
      </c>
      <c r="M3249" s="50"/>
      <c r="N3249" s="50"/>
      <c r="O3249" s="5"/>
      <c r="P3249" s="9"/>
      <c r="Q3249" s="34"/>
      <c r="R3249" s="5"/>
      <c r="S3249" s="35"/>
    </row>
    <row r="3250" spans="1:26" ht="30" customHeight="1" x14ac:dyDescent="0.35">
      <c r="A3250" s="186"/>
      <c r="B3250" s="567"/>
      <c r="C3250" s="567"/>
      <c r="D3250" s="567"/>
      <c r="E3250" s="194"/>
      <c r="F3250" s="1215" t="s">
        <v>195</v>
      </c>
      <c r="G3250" s="1273" t="s">
        <v>196</v>
      </c>
      <c r="H3250" s="1273"/>
      <c r="I3250" s="1273"/>
      <c r="J3250" s="1273"/>
      <c r="K3250" s="196">
        <v>1.05</v>
      </c>
      <c r="L3250" s="186"/>
      <c r="M3250" s="50"/>
      <c r="N3250" s="50"/>
      <c r="O3250" s="15"/>
      <c r="P3250" s="9"/>
      <c r="Q3250" s="34"/>
      <c r="R3250" s="5"/>
      <c r="S3250" s="35"/>
    </row>
    <row r="3251" spans="1:26" ht="30" customHeight="1" x14ac:dyDescent="0.35">
      <c r="A3251" s="186"/>
      <c r="B3251" s="567"/>
      <c r="C3251" s="567"/>
      <c r="D3251" s="567"/>
      <c r="E3251" s="194"/>
      <c r="F3251" s="1216"/>
      <c r="G3251" s="1268" t="s">
        <v>2875</v>
      </c>
      <c r="H3251" s="1268"/>
      <c r="I3251" s="1268"/>
      <c r="J3251" s="1268"/>
      <c r="K3251" s="196">
        <v>1.07</v>
      </c>
      <c r="L3251" s="186"/>
      <c r="M3251" s="50"/>
      <c r="N3251" s="50"/>
      <c r="O3251" s="53"/>
      <c r="P3251" s="9"/>
      <c r="Q3251" s="34"/>
      <c r="R3251" s="5"/>
      <c r="S3251" s="35"/>
      <c r="Z3251" s="396"/>
    </row>
    <row r="3252" spans="1:26" ht="30" customHeight="1" x14ac:dyDescent="0.35">
      <c r="A3252" s="1041"/>
      <c r="B3252" s="1041"/>
      <c r="C3252" s="1048"/>
      <c r="D3252" s="1048"/>
      <c r="E3252" s="1048"/>
      <c r="F3252" s="1048"/>
      <c r="G3252" s="1048"/>
      <c r="H3252" s="1048"/>
      <c r="I3252" s="1048"/>
      <c r="J3252" s="1041" t="s">
        <v>37</v>
      </c>
      <c r="K3252" s="1049">
        <f>+K3249*K3250/K3251</f>
        <v>165.15631757943925</v>
      </c>
      <c r="L3252" s="1041" t="s">
        <v>108</v>
      </c>
      <c r="M3252" s="50"/>
      <c r="N3252" s="106"/>
      <c r="O3252" s="64"/>
      <c r="P3252" s="9"/>
      <c r="Q3252" s="34"/>
      <c r="R3252" s="5"/>
      <c r="S3252" s="35"/>
    </row>
    <row r="3253" spans="1:26" ht="30" customHeight="1" thickBot="1" x14ac:dyDescent="0.4">
      <c r="A3253" s="1041"/>
      <c r="B3253" s="1041"/>
      <c r="C3253" s="1048"/>
      <c r="D3253" s="1048"/>
      <c r="E3253" s="1048"/>
      <c r="F3253" s="1048"/>
      <c r="G3253" s="1194" t="s">
        <v>257</v>
      </c>
      <c r="H3253" s="1195"/>
      <c r="I3253" s="1196"/>
      <c r="J3253" s="560">
        <f>VLOOKUP(B3245,'Mil Cost Premiums for PUCs'!$A$4:$R$285,18,FALSE)</f>
        <v>1.3045524833281539</v>
      </c>
      <c r="K3253" s="1049">
        <f>+K3252*J3253</f>
        <v>215.4550842355907</v>
      </c>
      <c r="L3253" s="1041" t="s">
        <v>108</v>
      </c>
      <c r="M3253" s="50"/>
      <c r="N3253" s="64"/>
      <c r="O3253" s="5"/>
      <c r="P3253" s="9"/>
      <c r="Q3253" s="34"/>
      <c r="R3253" s="5"/>
      <c r="S3253" s="35"/>
    </row>
    <row r="3254" spans="1:26" s="396" customFormat="1" ht="30" customHeight="1" thickBot="1" x14ac:dyDescent="0.4">
      <c r="A3254" s="1199"/>
      <c r="B3254" s="1200"/>
      <c r="C3254" s="1200"/>
      <c r="D3254" s="1200"/>
      <c r="E3254" s="1200"/>
      <c r="F3254" s="1200"/>
      <c r="G3254" s="1200"/>
      <c r="H3254" s="1200"/>
      <c r="I3254" s="1200"/>
      <c r="J3254" s="1200"/>
      <c r="K3254" s="1200"/>
      <c r="L3254" s="1201"/>
      <c r="M3254" s="50"/>
      <c r="N3254" s="50"/>
      <c r="O3254" s="5"/>
      <c r="P3254" s="9"/>
      <c r="Q3254" s="34"/>
      <c r="R3254" s="5"/>
      <c r="S3254" s="35"/>
      <c r="T3254" s="9"/>
      <c r="U3254" s="9"/>
      <c r="V3254" s="9"/>
      <c r="W3254" s="9"/>
      <c r="X3254" s="9"/>
      <c r="Y3254" s="9"/>
      <c r="Z3254" s="9"/>
    </row>
    <row r="3255" spans="1:26" ht="30" customHeight="1" x14ac:dyDescent="0.35">
      <c r="A3255" s="388" t="s">
        <v>1</v>
      </c>
      <c r="B3255" s="389">
        <v>7371</v>
      </c>
      <c r="C3255" s="1290" t="s">
        <v>1400</v>
      </c>
      <c r="D3255" s="1291"/>
      <c r="E3255" s="392" t="s">
        <v>3</v>
      </c>
      <c r="F3255" s="393" t="s">
        <v>108</v>
      </c>
      <c r="G3255" s="390" t="s">
        <v>38</v>
      </c>
      <c r="H3255" s="135">
        <v>22302.846752312402</v>
      </c>
      <c r="I3255" s="392" t="s">
        <v>5</v>
      </c>
      <c r="J3255" s="1207" t="s">
        <v>2861</v>
      </c>
      <c r="K3255" s="1207"/>
      <c r="L3255" s="1208"/>
      <c r="M3255" s="50"/>
      <c r="N3255" s="50"/>
      <c r="O3255" s="5"/>
      <c r="P3255" s="9"/>
      <c r="Q3255" s="34"/>
      <c r="R3255" s="5"/>
      <c r="S3255" s="35"/>
    </row>
    <row r="3256" spans="1:26" ht="30" customHeight="1" x14ac:dyDescent="0.35">
      <c r="A3256" s="185" t="s">
        <v>177</v>
      </c>
      <c r="B3256" s="1272" t="s">
        <v>7</v>
      </c>
      <c r="C3256" s="1272"/>
      <c r="D3256" s="1272"/>
      <c r="E3256" s="185" t="s">
        <v>178</v>
      </c>
      <c r="F3256" s="185" t="s">
        <v>52</v>
      </c>
      <c r="G3256" s="1292" t="s">
        <v>54</v>
      </c>
      <c r="H3256" s="1293"/>
      <c r="I3256" s="1223" t="s">
        <v>56</v>
      </c>
      <c r="J3256" s="1224"/>
      <c r="K3256" s="1209" t="s">
        <v>180</v>
      </c>
      <c r="L3256" s="1210"/>
      <c r="M3256" s="50"/>
      <c r="N3256" s="50"/>
      <c r="O3256" s="5"/>
      <c r="P3256" s="9"/>
      <c r="Q3256" s="34"/>
      <c r="R3256" s="5"/>
      <c r="S3256" s="35"/>
    </row>
    <row r="3257" spans="1:26" ht="30" customHeight="1" x14ac:dyDescent="0.35">
      <c r="A3257" s="186" t="s">
        <v>181</v>
      </c>
      <c r="B3257" s="1202" t="s">
        <v>1401</v>
      </c>
      <c r="C3257" s="1203"/>
      <c r="D3257" s="1204"/>
      <c r="E3257" s="211">
        <v>36000</v>
      </c>
      <c r="F3257" s="349">
        <v>507</v>
      </c>
      <c r="G3257" s="525"/>
      <c r="H3257" s="401"/>
      <c r="I3257" s="1217" t="s">
        <v>2860</v>
      </c>
      <c r="J3257" s="1218"/>
      <c r="K3257" s="287">
        <f>+F3257</f>
        <v>507</v>
      </c>
      <c r="L3257" s="401" t="s">
        <v>108</v>
      </c>
      <c r="M3257" s="96"/>
      <c r="O3257" s="5"/>
      <c r="P3257" s="9"/>
      <c r="Q3257" s="34"/>
      <c r="R3257" s="5"/>
      <c r="S3257" s="35"/>
    </row>
    <row r="3258" spans="1:26" ht="30" customHeight="1" thickBot="1" x14ac:dyDescent="0.4">
      <c r="A3258" s="186"/>
      <c r="B3258" s="1202"/>
      <c r="C3258" s="1203"/>
      <c r="D3258" s="1204"/>
      <c r="E3258" s="520"/>
      <c r="F3258" s="784"/>
      <c r="G3258" s="520"/>
      <c r="H3258" s="750"/>
      <c r="I3258" s="503"/>
      <c r="J3258" s="494" t="s">
        <v>37</v>
      </c>
      <c r="K3258" s="187">
        <f>K3257</f>
        <v>507</v>
      </c>
      <c r="L3258" s="401" t="s">
        <v>108</v>
      </c>
      <c r="M3258" s="50"/>
      <c r="N3258" s="50"/>
      <c r="O3258" s="5"/>
      <c r="P3258" s="9"/>
      <c r="Q3258" s="34"/>
      <c r="R3258" s="5"/>
      <c r="S3258" s="35"/>
    </row>
    <row r="3259" spans="1:26" ht="30" customHeight="1" thickBot="1" x14ac:dyDescent="0.4">
      <c r="A3259" s="1199"/>
      <c r="B3259" s="1200"/>
      <c r="C3259" s="1200"/>
      <c r="D3259" s="1200"/>
      <c r="E3259" s="1200"/>
      <c r="F3259" s="1200"/>
      <c r="G3259" s="1200"/>
      <c r="H3259" s="1200"/>
      <c r="I3259" s="1200"/>
      <c r="J3259" s="1200"/>
      <c r="K3259" s="1200"/>
      <c r="L3259" s="1201"/>
      <c r="M3259" s="50"/>
      <c r="N3259" s="50"/>
    </row>
    <row r="3260" spans="1:26" ht="30" customHeight="1" x14ac:dyDescent="0.35">
      <c r="A3260" s="388" t="s">
        <v>1</v>
      </c>
      <c r="B3260" s="389">
        <v>7372</v>
      </c>
      <c r="C3260" s="1205" t="s">
        <v>1402</v>
      </c>
      <c r="D3260" s="1206"/>
      <c r="E3260" s="392" t="s">
        <v>3</v>
      </c>
      <c r="F3260" s="393" t="s">
        <v>108</v>
      </c>
      <c r="G3260" s="390" t="s">
        <v>38</v>
      </c>
      <c r="H3260" s="132">
        <v>11462.7338846153</v>
      </c>
      <c r="I3260" s="392" t="s">
        <v>5</v>
      </c>
      <c r="J3260" s="1207" t="s">
        <v>2481</v>
      </c>
      <c r="K3260" s="1207"/>
      <c r="L3260" s="1208"/>
      <c r="M3260" s="50"/>
      <c r="N3260" s="50"/>
      <c r="O3260" s="5"/>
      <c r="P3260" s="9"/>
      <c r="Q3260" s="34"/>
      <c r="R3260" s="5"/>
      <c r="S3260" s="35"/>
    </row>
    <row r="3261" spans="1:26" ht="30" customHeight="1" x14ac:dyDescent="0.35">
      <c r="A3261" s="494" t="s">
        <v>187</v>
      </c>
      <c r="B3261" s="1272" t="s">
        <v>7</v>
      </c>
      <c r="C3261" s="1272"/>
      <c r="D3261" s="1272"/>
      <c r="E3261" s="566" t="s">
        <v>52</v>
      </c>
      <c r="F3261" s="566" t="s">
        <v>53</v>
      </c>
      <c r="G3261" s="1219" t="s">
        <v>54</v>
      </c>
      <c r="H3261" s="1220"/>
      <c r="I3261" s="185" t="s">
        <v>1051</v>
      </c>
      <c r="J3261" s="185" t="s">
        <v>188</v>
      </c>
      <c r="K3261" s="1209" t="s">
        <v>180</v>
      </c>
      <c r="L3261" s="1210"/>
      <c r="M3261" s="50"/>
      <c r="N3261" s="50"/>
      <c r="O3261" s="5"/>
      <c r="P3261" s="9"/>
      <c r="Q3261" s="34"/>
      <c r="R3261" s="5"/>
      <c r="S3261" s="35"/>
    </row>
    <row r="3262" spans="1:26" ht="30" customHeight="1" x14ac:dyDescent="0.35">
      <c r="A3262" s="790" t="s">
        <v>1403</v>
      </c>
      <c r="B3262" s="1202" t="s">
        <v>1404</v>
      </c>
      <c r="C3262" s="1203"/>
      <c r="D3262" s="1204"/>
      <c r="E3262" s="194">
        <v>155</v>
      </c>
      <c r="F3262" s="422" t="s">
        <v>108</v>
      </c>
      <c r="G3262" s="707"/>
      <c r="H3262" s="708"/>
      <c r="I3262" s="278"/>
      <c r="J3262" s="186">
        <v>1.1200000000000001</v>
      </c>
      <c r="K3262" s="194">
        <f>+E3262*J3262</f>
        <v>173.60000000000002</v>
      </c>
      <c r="L3262" s="186" t="s">
        <v>108</v>
      </c>
      <c r="M3262" s="50"/>
      <c r="N3262" s="50"/>
      <c r="O3262" s="5"/>
      <c r="P3262" s="9"/>
      <c r="Q3262" s="34"/>
      <c r="R3262" s="5"/>
      <c r="S3262" s="35"/>
    </row>
    <row r="3263" spans="1:26" ht="30" customHeight="1" x14ac:dyDescent="0.35">
      <c r="A3263" s="985" t="s">
        <v>285</v>
      </c>
      <c r="B3263" s="1211" t="s">
        <v>1405</v>
      </c>
      <c r="C3263" s="1211"/>
      <c r="D3263" s="1211"/>
      <c r="E3263" s="194">
        <v>4.8899999999999997</v>
      </c>
      <c r="F3263" s="186" t="s">
        <v>108</v>
      </c>
      <c r="G3263" s="186"/>
      <c r="H3263" s="186"/>
      <c r="I3263" s="1044"/>
      <c r="J3263" s="186">
        <v>1.1200000000000001</v>
      </c>
      <c r="K3263" s="194">
        <f>+E3263*J3263</f>
        <v>5.4767999999999999</v>
      </c>
      <c r="L3263" s="186" t="s">
        <v>108</v>
      </c>
      <c r="M3263" s="50"/>
      <c r="N3263" s="50"/>
      <c r="O3263" s="5"/>
      <c r="P3263" s="9"/>
      <c r="Q3263" s="34"/>
      <c r="R3263" s="5"/>
      <c r="S3263" s="35"/>
    </row>
    <row r="3264" spans="1:26" ht="30" customHeight="1" x14ac:dyDescent="0.35">
      <c r="A3264" s="989" t="s">
        <v>284</v>
      </c>
      <c r="B3264" s="1447" t="s">
        <v>2521</v>
      </c>
      <c r="C3264" s="1448"/>
      <c r="D3264" s="1449"/>
      <c r="E3264" s="279">
        <v>69750</v>
      </c>
      <c r="F3264" s="271" t="s">
        <v>40</v>
      </c>
      <c r="G3264" s="1054">
        <f>+E3264/H3260</f>
        <v>6.0849358191604637</v>
      </c>
      <c r="H3264" s="1055" t="s">
        <v>2500</v>
      </c>
      <c r="I3264" s="1044"/>
      <c r="J3264" s="186">
        <v>1.1200000000000001</v>
      </c>
      <c r="K3264" s="279">
        <f>+J3264*G3264</f>
        <v>6.8151281174597198</v>
      </c>
      <c r="L3264" s="186" t="s">
        <v>108</v>
      </c>
      <c r="M3264" s="50"/>
      <c r="N3264" s="50"/>
      <c r="O3264" s="5"/>
      <c r="P3264" s="9"/>
      <c r="Q3264" s="34"/>
      <c r="R3264" s="5"/>
      <c r="S3264" s="35"/>
    </row>
    <row r="3265" spans="1:21" ht="30" customHeight="1" x14ac:dyDescent="0.35">
      <c r="A3265" s="186"/>
      <c r="B3265" s="1211"/>
      <c r="C3265" s="1211"/>
      <c r="D3265" s="1211"/>
      <c r="E3265" s="194"/>
      <c r="F3265" s="186"/>
      <c r="G3265" s="186"/>
      <c r="H3265" s="186"/>
      <c r="I3265" s="186"/>
      <c r="J3265" s="186" t="s">
        <v>223</v>
      </c>
      <c r="K3265" s="194">
        <f>SUM(K3262:K3264)</f>
        <v>185.89192811745974</v>
      </c>
      <c r="L3265" s="186" t="s">
        <v>108</v>
      </c>
      <c r="M3265" s="50"/>
      <c r="N3265" s="50"/>
      <c r="O3265" s="5"/>
      <c r="P3265" s="9"/>
      <c r="Q3265" s="34"/>
      <c r="R3265" s="5"/>
      <c r="S3265" s="35"/>
    </row>
    <row r="3266" spans="1:21" ht="30" customHeight="1" x14ac:dyDescent="0.35">
      <c r="A3266" s="186"/>
      <c r="B3266" s="567"/>
      <c r="C3266" s="567"/>
      <c r="D3266" s="567"/>
      <c r="E3266" s="194"/>
      <c r="F3266" s="1215" t="s">
        <v>195</v>
      </c>
      <c r="G3266" s="1273" t="s">
        <v>196</v>
      </c>
      <c r="H3266" s="1273"/>
      <c r="I3266" s="1273"/>
      <c r="J3266" s="1273"/>
      <c r="K3266" s="196">
        <v>1.06</v>
      </c>
      <c r="L3266" s="186"/>
      <c r="M3266" s="50"/>
      <c r="N3266" s="50"/>
      <c r="O3266" s="5"/>
      <c r="P3266" s="9"/>
      <c r="Q3266" s="34"/>
      <c r="R3266" s="5"/>
      <c r="S3266" s="35"/>
    </row>
    <row r="3267" spans="1:21" ht="30" customHeight="1" x14ac:dyDescent="0.35">
      <c r="A3267" s="186"/>
      <c r="B3267" s="567"/>
      <c r="C3267" s="567"/>
      <c r="D3267" s="567"/>
      <c r="E3267" s="194"/>
      <c r="F3267" s="1216"/>
      <c r="G3267" s="1268" t="s">
        <v>2477</v>
      </c>
      <c r="H3267" s="1268"/>
      <c r="I3267" s="1268"/>
      <c r="J3267" s="1268"/>
      <c r="K3267" s="196">
        <v>1.05</v>
      </c>
      <c r="L3267" s="186"/>
      <c r="M3267" s="50"/>
      <c r="N3267" s="50"/>
      <c r="O3267" s="5"/>
      <c r="P3267" s="9"/>
      <c r="Q3267" s="34"/>
      <c r="R3267" s="5"/>
      <c r="S3267" s="35"/>
    </row>
    <row r="3268" spans="1:21" ht="30" customHeight="1" x14ac:dyDescent="0.35">
      <c r="A3268" s="186"/>
      <c r="B3268" s="186"/>
      <c r="C3268" s="503"/>
      <c r="D3268" s="503"/>
      <c r="E3268" s="503"/>
      <c r="F3268" s="503"/>
      <c r="G3268" s="503"/>
      <c r="H3268" s="503"/>
      <c r="I3268" s="503"/>
      <c r="J3268" s="186" t="s">
        <v>37</v>
      </c>
      <c r="K3268" s="193">
        <f>+K3265*K3266/K3267</f>
        <v>187.66232743286412</v>
      </c>
      <c r="L3268" s="186" t="s">
        <v>108</v>
      </c>
      <c r="M3268" s="50"/>
      <c r="N3268" s="50"/>
      <c r="O3268" s="5"/>
      <c r="P3268" s="9"/>
      <c r="Q3268" s="34"/>
      <c r="R3268" s="5"/>
      <c r="S3268" s="35"/>
    </row>
    <row r="3269" spans="1:21" ht="30" customHeight="1" x14ac:dyDescent="0.35">
      <c r="A3269" s="186"/>
      <c r="B3269" s="186"/>
      <c r="C3269" s="503"/>
      <c r="D3269" s="503"/>
      <c r="E3269" s="503"/>
      <c r="F3269" s="503"/>
      <c r="G3269" s="1364" t="s">
        <v>257</v>
      </c>
      <c r="H3269" s="1364"/>
      <c r="I3269" s="1364"/>
      <c r="J3269" s="560">
        <f>VLOOKUP(B3260,'Mil Cost Premiums for PUCs'!$A$4:$R$285,18,FALSE)</f>
        <v>1.3319480854780448</v>
      </c>
      <c r="K3269" s="193">
        <f>+K3268*J3269</f>
        <v>249.95647774055732</v>
      </c>
      <c r="L3269" s="186" t="s">
        <v>108</v>
      </c>
      <c r="M3269" s="50"/>
      <c r="O3269" s="5"/>
      <c r="P3269" s="9"/>
      <c r="Q3269" s="34"/>
      <c r="R3269" s="5"/>
      <c r="S3269" s="35"/>
    </row>
    <row r="3270" spans="1:21" ht="30" customHeight="1" thickBot="1" x14ac:dyDescent="0.4">
      <c r="A3270" s="186"/>
      <c r="B3270" s="186"/>
      <c r="C3270" s="503"/>
      <c r="D3270" s="503"/>
      <c r="E3270" s="503"/>
      <c r="F3270" s="503"/>
      <c r="G3270" s="1497" t="s">
        <v>3000</v>
      </c>
      <c r="H3270" s="1498"/>
      <c r="I3270" s="1499"/>
      <c r="J3270" s="560">
        <v>1.0438745311870361</v>
      </c>
      <c r="K3270" s="193">
        <f>+K3269*J3270</f>
        <v>260.92320101858712</v>
      </c>
      <c r="L3270" s="186" t="s">
        <v>108</v>
      </c>
      <c r="M3270" s="50"/>
      <c r="N3270" s="50"/>
      <c r="O3270" s="5"/>
      <c r="P3270" s="9"/>
      <c r="Q3270" s="34"/>
      <c r="R3270" s="5"/>
      <c r="S3270" s="35"/>
    </row>
    <row r="3271" spans="1:21" ht="30" customHeight="1" thickBot="1" x14ac:dyDescent="0.4">
      <c r="A3271" s="1199"/>
      <c r="B3271" s="1200"/>
      <c r="C3271" s="1200"/>
      <c r="D3271" s="1200"/>
      <c r="E3271" s="1200"/>
      <c r="F3271" s="1200"/>
      <c r="G3271" s="1200"/>
      <c r="H3271" s="1200"/>
      <c r="I3271" s="1200"/>
      <c r="J3271" s="1200"/>
      <c r="K3271" s="1200"/>
      <c r="L3271" s="1201"/>
      <c r="M3271" s="50"/>
      <c r="N3271" s="50"/>
      <c r="O3271" s="5"/>
      <c r="P3271" s="9"/>
      <c r="Q3271" s="34"/>
      <c r="R3271" s="5"/>
      <c r="S3271" s="35"/>
    </row>
    <row r="3272" spans="1:21" ht="30" customHeight="1" x14ac:dyDescent="0.35">
      <c r="A3272" s="388" t="s">
        <v>1</v>
      </c>
      <c r="B3272" s="389">
        <v>7380</v>
      </c>
      <c r="C3272" s="1345" t="s">
        <v>1406</v>
      </c>
      <c r="D3272" s="1346"/>
      <c r="E3272" s="392" t="s">
        <v>3</v>
      </c>
      <c r="F3272" s="393" t="s">
        <v>108</v>
      </c>
      <c r="G3272" s="390" t="s">
        <v>38</v>
      </c>
      <c r="H3272" s="391">
        <v>6040</v>
      </c>
      <c r="I3272" s="392" t="s">
        <v>5</v>
      </c>
      <c r="J3272" s="1304" t="s">
        <v>488</v>
      </c>
      <c r="K3272" s="1305"/>
      <c r="L3272" s="1306"/>
      <c r="M3272" s="97"/>
      <c r="N3272" s="50"/>
      <c r="O3272" s="5"/>
      <c r="P3272" s="9"/>
      <c r="Q3272" s="34"/>
      <c r="R3272" s="5"/>
      <c r="S3272" s="35"/>
    </row>
    <row r="3273" spans="1:21" ht="30" customHeight="1" x14ac:dyDescent="0.35">
      <c r="A3273" s="185"/>
      <c r="B3273" s="1272" t="s">
        <v>7</v>
      </c>
      <c r="C3273" s="1272"/>
      <c r="D3273" s="1272"/>
      <c r="E3273" s="185" t="s">
        <v>52</v>
      </c>
      <c r="F3273" s="185" t="s">
        <v>53</v>
      </c>
      <c r="G3273" s="1219" t="s">
        <v>54</v>
      </c>
      <c r="H3273" s="1220"/>
      <c r="I3273" s="185" t="s">
        <v>55</v>
      </c>
      <c r="J3273" s="185" t="s">
        <v>56</v>
      </c>
      <c r="K3273" s="1209" t="s">
        <v>37</v>
      </c>
      <c r="L3273" s="1210"/>
      <c r="M3273" s="50"/>
      <c r="N3273" s="50"/>
      <c r="O3273" s="5"/>
      <c r="P3273" s="9"/>
      <c r="Q3273" s="34"/>
      <c r="R3273" s="5"/>
      <c r="S3273" s="35"/>
    </row>
    <row r="3274" spans="1:21" ht="30" customHeight="1" thickBot="1" x14ac:dyDescent="0.4">
      <c r="A3274" s="407"/>
      <c r="B3274" s="1500" t="s">
        <v>491</v>
      </c>
      <c r="C3274" s="1500"/>
      <c r="D3274" s="1500"/>
      <c r="E3274" s="469"/>
      <c r="F3274" s="188"/>
      <c r="G3274" s="1332"/>
      <c r="H3274" s="1333"/>
      <c r="I3274" s="188"/>
      <c r="J3274" s="470"/>
      <c r="K3274" s="471" t="str">
        <f>B3274</f>
        <v>N/A</v>
      </c>
      <c r="L3274" s="188" t="s">
        <v>108</v>
      </c>
      <c r="M3274" s="50"/>
      <c r="N3274" s="50"/>
      <c r="O3274" s="5"/>
      <c r="P3274" s="9"/>
      <c r="Q3274" s="34"/>
      <c r="R3274" s="5"/>
      <c r="S3274" s="35"/>
    </row>
    <row r="3275" spans="1:21" ht="30" customHeight="1" thickBot="1" x14ac:dyDescent="0.4">
      <c r="A3275" s="1578"/>
      <c r="B3275" s="1579"/>
      <c r="C3275" s="1579"/>
      <c r="D3275" s="1579"/>
      <c r="E3275" s="1579"/>
      <c r="F3275" s="1579"/>
      <c r="G3275" s="1579"/>
      <c r="H3275" s="1579"/>
      <c r="I3275" s="1579"/>
      <c r="J3275" s="1579"/>
      <c r="K3275" s="1579"/>
      <c r="L3275" s="1580"/>
      <c r="M3275" s="50"/>
      <c r="N3275" s="50"/>
    </row>
    <row r="3276" spans="1:21" ht="30" customHeight="1" x14ac:dyDescent="0.35">
      <c r="A3276" s="388" t="s">
        <v>1</v>
      </c>
      <c r="B3276" s="389">
        <v>7381</v>
      </c>
      <c r="C3276" s="1205" t="s">
        <v>1407</v>
      </c>
      <c r="D3276" s="1206"/>
      <c r="E3276" s="392" t="s">
        <v>3</v>
      </c>
      <c r="F3276" s="393" t="s">
        <v>108</v>
      </c>
      <c r="G3276" s="390" t="s">
        <v>38</v>
      </c>
      <c r="H3276" s="135">
        <v>470</v>
      </c>
      <c r="I3276" s="392" t="s">
        <v>5</v>
      </c>
      <c r="J3276" s="1207" t="s">
        <v>2873</v>
      </c>
      <c r="K3276" s="1207"/>
      <c r="L3276" s="1208"/>
      <c r="M3276" s="97"/>
      <c r="N3276" s="50"/>
      <c r="O3276" s="539"/>
      <c r="P3276" s="9"/>
      <c r="Q3276" s="34"/>
      <c r="R3276" s="5"/>
      <c r="S3276" s="35"/>
    </row>
    <row r="3277" spans="1:21" ht="30" customHeight="1" x14ac:dyDescent="0.35">
      <c r="A3277" s="494" t="s">
        <v>187</v>
      </c>
      <c r="B3277" s="1280" t="s">
        <v>211</v>
      </c>
      <c r="C3277" s="1281"/>
      <c r="D3277" s="1282"/>
      <c r="E3277" s="566" t="s">
        <v>52</v>
      </c>
      <c r="F3277" s="566" t="s">
        <v>53</v>
      </c>
      <c r="G3277" s="1219" t="s">
        <v>54</v>
      </c>
      <c r="H3277" s="1220"/>
      <c r="I3277" s="1221" t="s">
        <v>179</v>
      </c>
      <c r="J3277" s="1222"/>
      <c r="K3277" s="1209" t="s">
        <v>180</v>
      </c>
      <c r="L3277" s="1210"/>
      <c r="M3277" s="97"/>
      <c r="N3277" s="50"/>
      <c r="O3277" s="539"/>
      <c r="P3277" s="9"/>
      <c r="Q3277" s="34"/>
      <c r="R3277" s="5"/>
      <c r="S3277" s="35"/>
    </row>
    <row r="3278" spans="1:21" ht="30" customHeight="1" x14ac:dyDescent="0.35">
      <c r="A3278" s="186">
        <v>17971</v>
      </c>
      <c r="B3278" s="1212" t="s">
        <v>2898</v>
      </c>
      <c r="C3278" s="1213"/>
      <c r="D3278" s="1214"/>
      <c r="E3278" s="1056">
        <v>944949</v>
      </c>
      <c r="F3278" s="422" t="s">
        <v>40</v>
      </c>
      <c r="G3278" s="772">
        <f>+H3276</f>
        <v>470</v>
      </c>
      <c r="H3278" s="708" t="s">
        <v>448</v>
      </c>
      <c r="I3278" s="1332">
        <f>+'FY2024 MILCON Inflation Table'!F23</f>
        <v>0.93863689284411045</v>
      </c>
      <c r="J3278" s="1333"/>
      <c r="K3278" s="734">
        <f>+E3278/G3278*I3278</f>
        <v>1887.1574324598921</v>
      </c>
      <c r="L3278" s="422" t="s">
        <v>108</v>
      </c>
      <c r="M3278" s="50"/>
      <c r="N3278" s="50"/>
      <c r="O3278" s="539"/>
      <c r="P3278" s="9"/>
      <c r="Q3278" s="34"/>
      <c r="R3278" s="5"/>
      <c r="S3278" s="35"/>
    </row>
    <row r="3279" spans="1:21" ht="30" customHeight="1" thickBot="1" x14ac:dyDescent="0.4">
      <c r="A3279" s="503"/>
      <c r="B3279" s="1212" t="s">
        <v>2930</v>
      </c>
      <c r="C3279" s="1457"/>
      <c r="D3279" s="1458"/>
      <c r="E3279" s="306"/>
      <c r="F3279" s="422"/>
      <c r="G3279" s="186"/>
      <c r="H3279" s="186"/>
      <c r="I3279" s="186"/>
      <c r="J3279" s="494" t="s">
        <v>37</v>
      </c>
      <c r="K3279" s="201">
        <f>+K3278</f>
        <v>1887.1574324598921</v>
      </c>
      <c r="L3279" s="422" t="s">
        <v>108</v>
      </c>
      <c r="M3279" s="50"/>
      <c r="N3279" s="50"/>
      <c r="O3279" s="5"/>
      <c r="P3279" s="9"/>
      <c r="Q3279" s="34"/>
      <c r="R3279" s="5"/>
      <c r="S3279" s="35"/>
    </row>
    <row r="3280" spans="1:21" ht="30" customHeight="1" thickBot="1" x14ac:dyDescent="0.4">
      <c r="A3280" s="1199"/>
      <c r="B3280" s="1200"/>
      <c r="C3280" s="1200"/>
      <c r="D3280" s="1200"/>
      <c r="E3280" s="1200"/>
      <c r="F3280" s="1200"/>
      <c r="G3280" s="1200"/>
      <c r="H3280" s="1200"/>
      <c r="I3280" s="1200"/>
      <c r="J3280" s="1200"/>
      <c r="K3280" s="1200"/>
      <c r="L3280" s="1201"/>
      <c r="M3280" s="165"/>
      <c r="N3280" s="50"/>
      <c r="O3280" s="5"/>
      <c r="P3280" s="9"/>
      <c r="Q3280" s="34"/>
      <c r="R3280" s="5"/>
      <c r="S3280" s="35"/>
      <c r="U3280" s="396"/>
    </row>
    <row r="3281" spans="1:26" ht="30" customHeight="1" x14ac:dyDescent="0.35">
      <c r="A3281" s="388" t="s">
        <v>1</v>
      </c>
      <c r="B3281" s="389">
        <v>7382</v>
      </c>
      <c r="C3281" s="1205" t="s">
        <v>1408</v>
      </c>
      <c r="D3281" s="1206"/>
      <c r="E3281" s="392" t="s">
        <v>3</v>
      </c>
      <c r="F3281" s="393" t="s">
        <v>108</v>
      </c>
      <c r="G3281" s="390" t="s">
        <v>38</v>
      </c>
      <c r="H3281" s="135">
        <v>3883</v>
      </c>
      <c r="I3281" s="392" t="s">
        <v>5</v>
      </c>
      <c r="J3281" s="1207" t="s">
        <v>2874</v>
      </c>
      <c r="K3281" s="1207"/>
      <c r="L3281" s="1208"/>
      <c r="M3281" s="50"/>
      <c r="O3281" s="5"/>
      <c r="P3281" s="384"/>
      <c r="Q3281" s="396"/>
      <c r="R3281" s="396"/>
      <c r="S3281" s="396"/>
      <c r="T3281" s="396"/>
      <c r="U3281" s="53"/>
    </row>
    <row r="3282" spans="1:26" ht="30" customHeight="1" x14ac:dyDescent="0.35">
      <c r="A3282" s="494" t="s">
        <v>187</v>
      </c>
      <c r="B3282" s="1280" t="s">
        <v>211</v>
      </c>
      <c r="C3282" s="1281"/>
      <c r="D3282" s="1282"/>
      <c r="E3282" s="566" t="s">
        <v>52</v>
      </c>
      <c r="F3282" s="566" t="s">
        <v>53</v>
      </c>
      <c r="G3282" s="1219" t="s">
        <v>54</v>
      </c>
      <c r="H3282" s="1220"/>
      <c r="I3282" s="185" t="s">
        <v>188</v>
      </c>
      <c r="J3282" s="185"/>
      <c r="K3282" s="1209" t="s">
        <v>180</v>
      </c>
      <c r="L3282" s="1210"/>
      <c r="M3282" s="50"/>
      <c r="N3282" s="50"/>
      <c r="O3282" s="5"/>
      <c r="U3282" s="10"/>
    </row>
    <row r="3283" spans="1:26" ht="30" customHeight="1" x14ac:dyDescent="0.35">
      <c r="A3283" s="790" t="s">
        <v>437</v>
      </c>
      <c r="B3283" s="1202" t="s">
        <v>1310</v>
      </c>
      <c r="C3283" s="1203"/>
      <c r="D3283" s="1204"/>
      <c r="E3283" s="194">
        <v>191</v>
      </c>
      <c r="F3283" s="422" t="s">
        <v>108</v>
      </c>
      <c r="G3283" s="707"/>
      <c r="H3283" s="708"/>
      <c r="I3283" s="186">
        <v>0.98</v>
      </c>
      <c r="J3283" s="186"/>
      <c r="K3283" s="194">
        <f>+E3283*I3283</f>
        <v>187.18</v>
      </c>
      <c r="L3283" s="186" t="s">
        <v>108</v>
      </c>
      <c r="M3283" s="50"/>
      <c r="N3283" s="50"/>
      <c r="O3283" s="5"/>
    </row>
    <row r="3284" spans="1:26" ht="30" customHeight="1" x14ac:dyDescent="0.35">
      <c r="A3284" s="186" t="s">
        <v>438</v>
      </c>
      <c r="B3284" s="1211" t="s">
        <v>1409</v>
      </c>
      <c r="C3284" s="1211"/>
      <c r="D3284" s="1211"/>
      <c r="E3284" s="194">
        <v>6.09</v>
      </c>
      <c r="F3284" s="186" t="s">
        <v>108</v>
      </c>
      <c r="G3284" s="186"/>
      <c r="H3284" s="186"/>
      <c r="I3284" s="186">
        <v>0.98</v>
      </c>
      <c r="J3284" s="186"/>
      <c r="K3284" s="194">
        <f>+E3284*I3284</f>
        <v>5.9681999999999995</v>
      </c>
      <c r="L3284" s="186" t="s">
        <v>108</v>
      </c>
      <c r="M3284" s="96"/>
      <c r="N3284" s="50"/>
      <c r="O3284" s="5"/>
      <c r="T3284" s="53"/>
    </row>
    <row r="3285" spans="1:26" ht="30" customHeight="1" x14ac:dyDescent="0.35">
      <c r="A3285" s="186"/>
      <c r="B3285" s="186"/>
      <c r="C3285" s="503"/>
      <c r="D3285" s="503"/>
      <c r="E3285" s="503"/>
      <c r="F3285" s="503"/>
      <c r="G3285" s="503"/>
      <c r="H3285" s="503"/>
      <c r="I3285" s="503"/>
      <c r="J3285" s="186" t="s">
        <v>223</v>
      </c>
      <c r="K3285" s="193">
        <f>SUM(K3283:K3284)</f>
        <v>193.1482</v>
      </c>
      <c r="L3285" s="186" t="s">
        <v>108</v>
      </c>
      <c r="M3285" s="50"/>
      <c r="N3285" s="50"/>
      <c r="O3285" s="5"/>
      <c r="T3285" s="10"/>
    </row>
    <row r="3286" spans="1:26" ht="30" customHeight="1" x14ac:dyDescent="0.35">
      <c r="A3286" s="186"/>
      <c r="B3286" s="567"/>
      <c r="C3286" s="567"/>
      <c r="D3286" s="567"/>
      <c r="E3286" s="194"/>
      <c r="F3286" s="1215" t="s">
        <v>195</v>
      </c>
      <c r="G3286" s="1273" t="s">
        <v>196</v>
      </c>
      <c r="H3286" s="1273"/>
      <c r="I3286" s="1273"/>
      <c r="J3286" s="1273"/>
      <c r="K3286" s="196">
        <v>1.05</v>
      </c>
      <c r="L3286" s="186"/>
      <c r="M3286" s="50"/>
      <c r="N3286" s="50"/>
      <c r="O3286" s="54"/>
      <c r="P3286" s="9"/>
      <c r="Q3286" s="34"/>
      <c r="R3286" s="5"/>
      <c r="S3286" s="35"/>
    </row>
    <row r="3287" spans="1:26" ht="30" customHeight="1" x14ac:dyDescent="0.35">
      <c r="A3287" s="186"/>
      <c r="B3287" s="567"/>
      <c r="C3287" s="567"/>
      <c r="D3287" s="567"/>
      <c r="E3287" s="194"/>
      <c r="F3287" s="1216"/>
      <c r="G3287" s="1268" t="s">
        <v>2875</v>
      </c>
      <c r="H3287" s="1268"/>
      <c r="I3287" s="1268"/>
      <c r="J3287" s="1268"/>
      <c r="K3287" s="196">
        <v>1.07</v>
      </c>
      <c r="L3287" s="186"/>
      <c r="M3287" s="50"/>
      <c r="N3287" s="50"/>
      <c r="O3287" s="54"/>
      <c r="P3287" s="9"/>
      <c r="Q3287" s="34"/>
      <c r="R3287" s="5"/>
      <c r="S3287" s="35"/>
    </row>
    <row r="3288" spans="1:26" ht="30" customHeight="1" x14ac:dyDescent="0.35">
      <c r="A3288" s="186"/>
      <c r="B3288" s="567"/>
      <c r="C3288" s="567"/>
      <c r="D3288" s="567"/>
      <c r="E3288" s="194"/>
      <c r="F3288" s="445"/>
      <c r="G3288" s="551"/>
      <c r="H3288" s="551"/>
      <c r="I3288" s="551"/>
      <c r="J3288" s="186" t="s">
        <v>37</v>
      </c>
      <c r="K3288" s="191">
        <f>+K3285*K3286/K3287</f>
        <v>189.53795327102802</v>
      </c>
      <c r="L3288" s="186" t="s">
        <v>108</v>
      </c>
      <c r="M3288" s="50"/>
      <c r="N3288" s="50"/>
      <c r="O3288" s="5"/>
      <c r="P3288" s="9"/>
      <c r="Q3288" s="34"/>
      <c r="R3288" s="5"/>
      <c r="S3288" s="35"/>
    </row>
    <row r="3289" spans="1:26" ht="30" customHeight="1" thickBot="1" x14ac:dyDescent="0.4">
      <c r="A3289" s="186"/>
      <c r="B3289" s="186"/>
      <c r="C3289" s="503"/>
      <c r="D3289" s="503"/>
      <c r="E3289" s="503"/>
      <c r="F3289" s="503"/>
      <c r="G3289" s="1194" t="s">
        <v>257</v>
      </c>
      <c r="H3289" s="1195"/>
      <c r="I3289" s="1196"/>
      <c r="J3289" s="560">
        <f>VLOOKUP(B3281,'Mil Cost Premiums for PUCs'!$A$4:$R$285,18,FALSE)</f>
        <v>1.0209999999999999</v>
      </c>
      <c r="K3289" s="193">
        <f>+K3288*J3289</f>
        <v>193.51825028971959</v>
      </c>
      <c r="L3289" s="186" t="s">
        <v>108</v>
      </c>
      <c r="M3289" s="50"/>
      <c r="N3289" s="50"/>
      <c r="O3289" s="13"/>
      <c r="P3289" s="9"/>
      <c r="Q3289" s="34"/>
      <c r="R3289" s="5"/>
      <c r="S3289" s="35"/>
    </row>
    <row r="3290" spans="1:26" ht="30" customHeight="1" thickBot="1" x14ac:dyDescent="0.4">
      <c r="A3290" s="1199"/>
      <c r="B3290" s="1200"/>
      <c r="C3290" s="1200"/>
      <c r="D3290" s="1200"/>
      <c r="E3290" s="1200"/>
      <c r="F3290" s="1200"/>
      <c r="G3290" s="1200"/>
      <c r="H3290" s="1200"/>
      <c r="I3290" s="1200"/>
      <c r="J3290" s="1200"/>
      <c r="K3290" s="1200"/>
      <c r="L3290" s="1201"/>
      <c r="N3290" s="50"/>
      <c r="O3290" s="5"/>
      <c r="P3290" s="9"/>
      <c r="Q3290" s="34"/>
      <c r="R3290" s="5"/>
      <c r="S3290" s="35"/>
    </row>
    <row r="3291" spans="1:26" ht="30" customHeight="1" x14ac:dyDescent="0.35">
      <c r="A3291" s="388" t="s">
        <v>1</v>
      </c>
      <c r="B3291" s="389">
        <v>7383</v>
      </c>
      <c r="C3291" s="1290" t="s">
        <v>1410</v>
      </c>
      <c r="D3291" s="1291"/>
      <c r="E3291" s="392" t="s">
        <v>3</v>
      </c>
      <c r="F3291" s="393" t="s">
        <v>108</v>
      </c>
      <c r="G3291" s="390" t="s">
        <v>38</v>
      </c>
      <c r="H3291" s="146">
        <v>2490</v>
      </c>
      <c r="I3291" s="392" t="s">
        <v>5</v>
      </c>
      <c r="J3291" s="1207" t="s">
        <v>1221</v>
      </c>
      <c r="K3291" s="1207"/>
      <c r="L3291" s="1208"/>
      <c r="M3291" s="96"/>
    </row>
    <row r="3292" spans="1:26" ht="30" customHeight="1" x14ac:dyDescent="0.35">
      <c r="A3292" s="185" t="s">
        <v>177</v>
      </c>
      <c r="B3292" s="1272" t="s">
        <v>7</v>
      </c>
      <c r="C3292" s="1272"/>
      <c r="D3292" s="1272"/>
      <c r="E3292" s="492" t="s">
        <v>178</v>
      </c>
      <c r="F3292" s="397" t="s">
        <v>52</v>
      </c>
      <c r="G3292" s="999"/>
      <c r="I3292" s="1221" t="s">
        <v>179</v>
      </c>
      <c r="J3292" s="1222"/>
      <c r="K3292" s="1209" t="s">
        <v>180</v>
      </c>
      <c r="L3292" s="1210"/>
      <c r="M3292" s="96"/>
      <c r="N3292" s="50"/>
      <c r="O3292" s="5"/>
      <c r="P3292" s="9"/>
      <c r="Q3292" s="34"/>
      <c r="R3292" s="5"/>
      <c r="S3292" s="35"/>
    </row>
    <row r="3293" spans="1:26" ht="30" customHeight="1" x14ac:dyDescent="0.35">
      <c r="A3293" s="401">
        <v>62010</v>
      </c>
      <c r="B3293" s="1265" t="s">
        <v>1222</v>
      </c>
      <c r="C3293" s="1265"/>
      <c r="D3293" s="1265"/>
      <c r="E3293" s="531">
        <v>6000</v>
      </c>
      <c r="F3293" s="187">
        <v>235</v>
      </c>
      <c r="G3293" s="401"/>
      <c r="H3293" s="915"/>
      <c r="I3293" s="1492">
        <f>+'FY2024 MILCON Inflation Table'!F8</f>
        <v>1.7467053391350638</v>
      </c>
      <c r="J3293" s="1493"/>
      <c r="K3293" s="189">
        <f>+F3293*I3293</f>
        <v>410.47575469674001</v>
      </c>
      <c r="L3293" s="401" t="s">
        <v>108</v>
      </c>
      <c r="M3293" s="50"/>
      <c r="N3293" s="96"/>
      <c r="O3293" s="5"/>
      <c r="P3293" s="9"/>
      <c r="Q3293" s="34"/>
      <c r="R3293" s="5"/>
      <c r="S3293" s="35"/>
    </row>
    <row r="3294" spans="1:26" ht="30" customHeight="1" thickBot="1" x14ac:dyDescent="0.4">
      <c r="A3294" s="186"/>
      <c r="B3294" s="1264"/>
      <c r="C3294" s="1264"/>
      <c r="D3294" s="1264"/>
      <c r="E3294" s="535"/>
      <c r="F3294" s="536"/>
      <c r="G3294" s="536"/>
      <c r="H3294" s="537"/>
      <c r="I3294" s="503"/>
      <c r="J3294" s="494" t="s">
        <v>37</v>
      </c>
      <c r="K3294" s="190">
        <f>+K3293</f>
        <v>410.47575469674001</v>
      </c>
      <c r="L3294" s="186" t="s">
        <v>108</v>
      </c>
      <c r="M3294" s="50"/>
      <c r="N3294" s="50"/>
      <c r="O3294" s="572"/>
      <c r="P3294" s="9"/>
      <c r="Q3294" s="34"/>
      <c r="R3294" s="5"/>
      <c r="S3294" s="35"/>
    </row>
    <row r="3295" spans="1:26" ht="30" customHeight="1" thickBot="1" x14ac:dyDescent="0.4">
      <c r="A3295" s="1199"/>
      <c r="B3295" s="1200"/>
      <c r="C3295" s="1200"/>
      <c r="D3295" s="1200"/>
      <c r="E3295" s="1200"/>
      <c r="F3295" s="1200"/>
      <c r="G3295" s="1200"/>
      <c r="H3295" s="1200"/>
      <c r="I3295" s="1200"/>
      <c r="J3295" s="1200"/>
      <c r="K3295" s="1200"/>
      <c r="L3295" s="1201"/>
      <c r="M3295" s="50"/>
      <c r="N3295" s="50"/>
      <c r="P3295" s="9"/>
      <c r="Q3295" s="34"/>
      <c r="R3295" s="5"/>
      <c r="S3295" s="35"/>
      <c r="Z3295" s="396"/>
    </row>
    <row r="3296" spans="1:26" ht="30" customHeight="1" x14ac:dyDescent="0.35">
      <c r="A3296" s="388" t="s">
        <v>1</v>
      </c>
      <c r="B3296" s="389">
        <v>7384</v>
      </c>
      <c r="C3296" s="1205" t="s">
        <v>1411</v>
      </c>
      <c r="D3296" s="1206"/>
      <c r="E3296" s="392" t="s">
        <v>3</v>
      </c>
      <c r="F3296" s="393" t="s">
        <v>108</v>
      </c>
      <c r="G3296" s="390" t="s">
        <v>38</v>
      </c>
      <c r="H3296" s="132">
        <v>335</v>
      </c>
      <c r="I3296" s="392" t="s">
        <v>5</v>
      </c>
      <c r="J3296" s="1207" t="s">
        <v>2874</v>
      </c>
      <c r="K3296" s="1207"/>
      <c r="L3296" s="1208"/>
      <c r="M3296" s="50"/>
      <c r="N3296" s="50"/>
      <c r="P3296" s="9"/>
      <c r="Q3296" s="34"/>
      <c r="R3296" s="5"/>
      <c r="S3296" s="35"/>
      <c r="X3296" s="396"/>
      <c r="Y3296" s="396"/>
    </row>
    <row r="3297" spans="1:26" ht="30" customHeight="1" x14ac:dyDescent="0.35">
      <c r="A3297" s="494" t="s">
        <v>187</v>
      </c>
      <c r="B3297" s="1280" t="s">
        <v>211</v>
      </c>
      <c r="C3297" s="1281"/>
      <c r="D3297" s="1282"/>
      <c r="E3297" s="566" t="s">
        <v>52</v>
      </c>
      <c r="F3297" s="566" t="s">
        <v>53</v>
      </c>
      <c r="G3297" s="1219" t="s">
        <v>54</v>
      </c>
      <c r="H3297" s="1220"/>
      <c r="I3297" s="185" t="s">
        <v>188</v>
      </c>
      <c r="J3297" s="185"/>
      <c r="K3297" s="399" t="s">
        <v>180</v>
      </c>
      <c r="L3297" s="400"/>
      <c r="M3297" s="50"/>
      <c r="N3297" s="50"/>
      <c r="P3297" s="9"/>
      <c r="Q3297" s="34"/>
      <c r="R3297" s="5"/>
      <c r="S3297" s="35"/>
      <c r="Z3297" s="396"/>
    </row>
    <row r="3298" spans="1:26" s="396" customFormat="1" ht="30" customHeight="1" x14ac:dyDescent="0.35">
      <c r="A3298" s="790" t="s">
        <v>465</v>
      </c>
      <c r="B3298" s="1202" t="s">
        <v>1412</v>
      </c>
      <c r="C3298" s="1203"/>
      <c r="D3298" s="1204"/>
      <c r="E3298" s="194">
        <f>+(22.75+57.5)/2</f>
        <v>40.125</v>
      </c>
      <c r="F3298" s="422" t="s">
        <v>108</v>
      </c>
      <c r="G3298" s="186"/>
      <c r="H3298" s="186"/>
      <c r="I3298" s="186">
        <v>1.07</v>
      </c>
      <c r="J3298" s="186"/>
      <c r="K3298" s="194">
        <f>+E3298*I3298</f>
        <v>42.933750000000003</v>
      </c>
      <c r="L3298" s="186" t="s">
        <v>108</v>
      </c>
      <c r="M3298" s="50"/>
      <c r="N3298" s="50"/>
      <c r="O3298" s="9"/>
      <c r="P3298" s="9"/>
      <c r="Q3298" s="34"/>
      <c r="R3298" s="5"/>
      <c r="S3298" s="35"/>
      <c r="T3298" s="9"/>
      <c r="U3298" s="9"/>
      <c r="V3298" s="9"/>
      <c r="W3298" s="9"/>
      <c r="X3298" s="9"/>
      <c r="Y3298" s="9"/>
      <c r="Z3298" s="9"/>
    </row>
    <row r="3299" spans="1:26" ht="30" customHeight="1" x14ac:dyDescent="0.35">
      <c r="A3299" s="790" t="s">
        <v>465</v>
      </c>
      <c r="B3299" s="1212" t="s">
        <v>1413</v>
      </c>
      <c r="C3299" s="1213"/>
      <c r="D3299" s="1214"/>
      <c r="E3299" s="194">
        <f>+(113+310)/2</f>
        <v>211.5</v>
      </c>
      <c r="F3299" s="422" t="s">
        <v>40</v>
      </c>
      <c r="G3299" s="1057">
        <f>1/H3296</f>
        <v>2.9850746268656717E-3</v>
      </c>
      <c r="H3299" s="186" t="s">
        <v>472</v>
      </c>
      <c r="I3299" s="186">
        <v>1.07</v>
      </c>
      <c r="J3299" s="186">
        <v>2</v>
      </c>
      <c r="K3299" s="194">
        <f>E3299*G3299*I3299*J3299</f>
        <v>1.3510746268656717</v>
      </c>
      <c r="L3299" s="186" t="s">
        <v>108</v>
      </c>
      <c r="M3299" s="50"/>
      <c r="N3299" s="50"/>
      <c r="O3299" s="5"/>
      <c r="P3299" s="9"/>
      <c r="Q3299" s="34"/>
      <c r="R3299" s="5"/>
      <c r="S3299" s="35"/>
    </row>
    <row r="3300" spans="1:26" s="396" customFormat="1" ht="30" customHeight="1" x14ac:dyDescent="0.35">
      <c r="A3300" s="1016" t="s">
        <v>1361</v>
      </c>
      <c r="B3300" s="1211" t="s">
        <v>1414</v>
      </c>
      <c r="C3300" s="1211"/>
      <c r="D3300" s="1211"/>
      <c r="E3300" s="194">
        <v>88</v>
      </c>
      <c r="F3300" s="186" t="s">
        <v>108</v>
      </c>
      <c r="G3300" s="186"/>
      <c r="H3300" s="186"/>
      <c r="I3300" s="186">
        <v>1.06</v>
      </c>
      <c r="J3300" s="186"/>
      <c r="K3300" s="194">
        <f>+E3300*I3300</f>
        <v>93.28</v>
      </c>
      <c r="L3300" s="186" t="s">
        <v>108</v>
      </c>
      <c r="M3300" s="50"/>
      <c r="N3300" s="50"/>
      <c r="O3300" s="5"/>
      <c r="P3300" s="9"/>
      <c r="Q3300" s="34"/>
      <c r="R3300" s="5"/>
      <c r="S3300" s="35"/>
      <c r="T3300" s="9"/>
      <c r="U3300" s="9"/>
      <c r="V3300" s="9"/>
      <c r="W3300" s="9"/>
      <c r="X3300" s="9"/>
      <c r="Y3300" s="9"/>
      <c r="Z3300" s="9"/>
    </row>
    <row r="3301" spans="1:26" ht="30" customHeight="1" x14ac:dyDescent="0.35">
      <c r="A3301" s="1016"/>
      <c r="B3301" s="567"/>
      <c r="C3301" s="567"/>
      <c r="D3301" s="567"/>
      <c r="E3301" s="194"/>
      <c r="F3301" s="186"/>
      <c r="G3301" s="186"/>
      <c r="H3301" s="186"/>
      <c r="I3301" s="186"/>
      <c r="J3301" s="188" t="s">
        <v>1415</v>
      </c>
      <c r="K3301" s="194">
        <f>((K3298+K3299)+K3300)/2</f>
        <v>68.782412313432843</v>
      </c>
      <c r="L3301" s="186" t="s">
        <v>108</v>
      </c>
      <c r="M3301" s="50"/>
      <c r="O3301" s="5"/>
      <c r="P3301" s="9"/>
      <c r="Q3301" s="34"/>
      <c r="R3301" s="5"/>
      <c r="S3301" s="35"/>
    </row>
    <row r="3302" spans="1:26" ht="30" customHeight="1" x14ac:dyDescent="0.35">
      <c r="A3302" s="186"/>
      <c r="B3302" s="567"/>
      <c r="C3302" s="567"/>
      <c r="D3302" s="567"/>
      <c r="E3302" s="194"/>
      <c r="F3302" s="1215" t="s">
        <v>195</v>
      </c>
      <c r="G3302" s="1273" t="s">
        <v>196</v>
      </c>
      <c r="H3302" s="1273"/>
      <c r="I3302" s="1273"/>
      <c r="J3302" s="1273"/>
      <c r="K3302" s="196">
        <v>1.01</v>
      </c>
      <c r="L3302" s="186"/>
      <c r="M3302" s="50"/>
      <c r="N3302" s="50"/>
      <c r="O3302" s="5"/>
      <c r="P3302" s="9"/>
      <c r="Q3302" s="34"/>
      <c r="R3302" s="5"/>
      <c r="S3302" s="35"/>
    </row>
    <row r="3303" spans="1:26" ht="30" customHeight="1" x14ac:dyDescent="0.35">
      <c r="A3303" s="186"/>
      <c r="B3303" s="567"/>
      <c r="C3303" s="567"/>
      <c r="D3303" s="567"/>
      <c r="E3303" s="194"/>
      <c r="F3303" s="1216"/>
      <c r="G3303" s="1268" t="s">
        <v>2875</v>
      </c>
      <c r="H3303" s="1268"/>
      <c r="I3303" s="1268"/>
      <c r="J3303" s="1268"/>
      <c r="K3303" s="196">
        <v>1.07</v>
      </c>
      <c r="L3303" s="186"/>
      <c r="M3303" s="50"/>
      <c r="N3303" s="50"/>
    </row>
    <row r="3304" spans="1:26" ht="30" customHeight="1" x14ac:dyDescent="0.35">
      <c r="A3304" s="186"/>
      <c r="B3304" s="186"/>
      <c r="C3304" s="503"/>
      <c r="D3304" s="503"/>
      <c r="E3304" s="503"/>
      <c r="F3304" s="503"/>
      <c r="G3304" s="503"/>
      <c r="H3304" s="503"/>
      <c r="I3304" s="503"/>
      <c r="J3304" s="503" t="s">
        <v>37</v>
      </c>
      <c r="K3304" s="193">
        <f>+K3301*K3302/K3303</f>
        <v>64.925454613614178</v>
      </c>
      <c r="L3304" s="186" t="s">
        <v>108</v>
      </c>
      <c r="M3304" s="50"/>
      <c r="N3304" s="50"/>
      <c r="O3304" s="5"/>
      <c r="P3304" s="9"/>
      <c r="Q3304" s="34"/>
      <c r="R3304" s="5"/>
      <c r="S3304" s="35"/>
    </row>
    <row r="3305" spans="1:26" ht="30" customHeight="1" thickBot="1" x14ac:dyDescent="0.4">
      <c r="A3305" s="186"/>
      <c r="B3305" s="186"/>
      <c r="C3305" s="503"/>
      <c r="D3305" s="503"/>
      <c r="E3305" s="503"/>
      <c r="F3305" s="503"/>
      <c r="G3305" s="1194" t="s">
        <v>257</v>
      </c>
      <c r="H3305" s="1195"/>
      <c r="I3305" s="1196"/>
      <c r="J3305" s="560">
        <f>VLOOKUP(B3296,'Mil Cost Premiums for PUCs'!$A$4:$R$285,18,FALSE)</f>
        <v>1.0209999999999999</v>
      </c>
      <c r="K3305" s="193">
        <f>+K3304*J3305</f>
        <v>66.288889160500077</v>
      </c>
      <c r="L3305" s="186" t="s">
        <v>108</v>
      </c>
      <c r="M3305" s="96"/>
      <c r="N3305" s="96"/>
      <c r="O3305" s="5"/>
      <c r="P3305" s="9"/>
      <c r="Q3305" s="34"/>
      <c r="R3305" s="5"/>
      <c r="S3305" s="35"/>
    </row>
    <row r="3306" spans="1:26" ht="30" customHeight="1" thickBot="1" x14ac:dyDescent="0.4">
      <c r="A3306" s="1199"/>
      <c r="B3306" s="1200"/>
      <c r="C3306" s="1200"/>
      <c r="D3306" s="1200"/>
      <c r="E3306" s="1200"/>
      <c r="F3306" s="1200"/>
      <c r="G3306" s="1200"/>
      <c r="H3306" s="1200"/>
      <c r="I3306" s="1200"/>
      <c r="J3306" s="1200"/>
      <c r="K3306" s="1200"/>
      <c r="L3306" s="1201"/>
      <c r="N3306" s="50"/>
      <c r="O3306" s="5"/>
      <c r="P3306" s="9"/>
      <c r="Q3306" s="34"/>
      <c r="R3306" s="5"/>
      <c r="S3306" s="35"/>
    </row>
    <row r="3307" spans="1:26" ht="30" customHeight="1" x14ac:dyDescent="0.35">
      <c r="A3307" s="388" t="s">
        <v>1</v>
      </c>
      <c r="B3307" s="389">
        <v>7385</v>
      </c>
      <c r="C3307" s="1205" t="s">
        <v>1416</v>
      </c>
      <c r="D3307" s="1206"/>
      <c r="E3307" s="392" t="s">
        <v>3</v>
      </c>
      <c r="F3307" s="393" t="s">
        <v>108</v>
      </c>
      <c r="G3307" s="390" t="s">
        <v>38</v>
      </c>
      <c r="H3307" s="132">
        <v>694.44652163461501</v>
      </c>
      <c r="I3307" s="392" t="s">
        <v>5</v>
      </c>
      <c r="J3307" s="1207" t="s">
        <v>2481</v>
      </c>
      <c r="K3307" s="1207"/>
      <c r="L3307" s="1208"/>
      <c r="M3307" s="50"/>
      <c r="N3307" s="50"/>
      <c r="O3307" s="5"/>
      <c r="P3307" s="9"/>
      <c r="Q3307" s="34"/>
      <c r="R3307" s="5"/>
      <c r="S3307" s="35"/>
    </row>
    <row r="3308" spans="1:26" ht="30" customHeight="1" x14ac:dyDescent="0.35">
      <c r="A3308" s="494" t="s">
        <v>187</v>
      </c>
      <c r="B3308" s="1280" t="s">
        <v>211</v>
      </c>
      <c r="C3308" s="1281"/>
      <c r="D3308" s="1282"/>
      <c r="E3308" s="566" t="s">
        <v>52</v>
      </c>
      <c r="F3308" s="566" t="s">
        <v>53</v>
      </c>
      <c r="G3308" s="1219" t="s">
        <v>54</v>
      </c>
      <c r="H3308" s="1220"/>
      <c r="I3308" s="185" t="s">
        <v>1051</v>
      </c>
      <c r="J3308" s="185" t="s">
        <v>188</v>
      </c>
      <c r="K3308" s="1249" t="s">
        <v>180</v>
      </c>
      <c r="L3308" s="1250"/>
      <c r="M3308" s="50"/>
      <c r="N3308" s="50"/>
      <c r="O3308" s="5"/>
      <c r="P3308" s="9"/>
      <c r="Q3308" s="34"/>
      <c r="R3308" s="5"/>
      <c r="S3308" s="35"/>
    </row>
    <row r="3309" spans="1:26" ht="30" customHeight="1" x14ac:dyDescent="0.35">
      <c r="A3309" s="790" t="s">
        <v>1417</v>
      </c>
      <c r="B3309" s="1202" t="s">
        <v>1418</v>
      </c>
      <c r="C3309" s="1203"/>
      <c r="D3309" s="1204"/>
      <c r="E3309" s="194">
        <v>168</v>
      </c>
      <c r="F3309" s="422" t="s">
        <v>108</v>
      </c>
      <c r="G3309" s="1058"/>
      <c r="H3309" s="1059"/>
      <c r="I3309" s="278"/>
      <c r="J3309" s="186">
        <v>1.28</v>
      </c>
      <c r="K3309" s="194">
        <f>+E3309*J3309</f>
        <v>215.04</v>
      </c>
      <c r="L3309" s="186" t="s">
        <v>108</v>
      </c>
      <c r="M3309" s="50"/>
      <c r="N3309" s="50"/>
      <c r="O3309" s="5"/>
      <c r="P3309" s="9"/>
      <c r="Q3309" s="34"/>
      <c r="R3309" s="5"/>
      <c r="S3309" s="35"/>
    </row>
    <row r="3310" spans="1:26" ht="30" customHeight="1" x14ac:dyDescent="0.35">
      <c r="A3310" s="186" t="s">
        <v>438</v>
      </c>
      <c r="B3310" s="1211" t="s">
        <v>1419</v>
      </c>
      <c r="C3310" s="1211"/>
      <c r="D3310" s="1211"/>
      <c r="E3310" s="194">
        <v>5.14</v>
      </c>
      <c r="F3310" s="186" t="s">
        <v>108</v>
      </c>
      <c r="G3310" s="186"/>
      <c r="H3310" s="186"/>
      <c r="I3310" s="1044"/>
      <c r="J3310" s="186">
        <v>1.28</v>
      </c>
      <c r="K3310" s="194">
        <f>+E3310*J3310</f>
        <v>6.5792000000000002</v>
      </c>
      <c r="L3310" s="186" t="s">
        <v>108</v>
      </c>
      <c r="M3310" s="50"/>
      <c r="N3310" s="50"/>
      <c r="O3310" s="5"/>
      <c r="P3310" s="9"/>
      <c r="Q3310" s="34"/>
      <c r="R3310" s="5"/>
      <c r="S3310" s="35"/>
    </row>
    <row r="3311" spans="1:26" ht="30" customHeight="1" x14ac:dyDescent="0.35">
      <c r="A3311" s="186"/>
      <c r="B3311" s="186"/>
      <c r="C3311" s="503"/>
      <c r="D3311" s="503"/>
      <c r="E3311" s="503"/>
      <c r="F3311" s="503"/>
      <c r="G3311" s="503"/>
      <c r="H3311" s="503"/>
      <c r="I3311" s="503"/>
      <c r="J3311" s="186" t="s">
        <v>223</v>
      </c>
      <c r="K3311" s="193">
        <f>SUM(K3309:K3310)</f>
        <v>221.61919999999998</v>
      </c>
      <c r="L3311" s="186" t="s">
        <v>108</v>
      </c>
      <c r="M3311" s="50"/>
      <c r="O3311" s="5"/>
      <c r="P3311" s="9"/>
      <c r="Q3311" s="34"/>
      <c r="R3311" s="5"/>
      <c r="S3311" s="35"/>
    </row>
    <row r="3312" spans="1:26" ht="30" customHeight="1" x14ac:dyDescent="0.35">
      <c r="A3312" s="186"/>
      <c r="B3312" s="567"/>
      <c r="C3312" s="567"/>
      <c r="D3312" s="567"/>
      <c r="E3312" s="194"/>
      <c r="F3312" s="1215" t="s">
        <v>195</v>
      </c>
      <c r="G3312" s="1273" t="s">
        <v>196</v>
      </c>
      <c r="H3312" s="1273"/>
      <c r="I3312" s="1273"/>
      <c r="J3312" s="1273"/>
      <c r="K3312" s="196">
        <v>1.06</v>
      </c>
      <c r="L3312" s="186"/>
      <c r="M3312" s="50"/>
      <c r="N3312" s="50"/>
      <c r="O3312" s="5"/>
      <c r="P3312" s="9"/>
      <c r="Q3312" s="34"/>
      <c r="R3312" s="5"/>
      <c r="S3312" s="35"/>
    </row>
    <row r="3313" spans="1:23" ht="30" customHeight="1" x14ac:dyDescent="0.35">
      <c r="A3313" s="186"/>
      <c r="B3313" s="567"/>
      <c r="C3313" s="567"/>
      <c r="D3313" s="567"/>
      <c r="E3313" s="194"/>
      <c r="F3313" s="1216"/>
      <c r="G3313" s="1268" t="s">
        <v>2477</v>
      </c>
      <c r="H3313" s="1268"/>
      <c r="I3313" s="1268"/>
      <c r="J3313" s="1268"/>
      <c r="K3313" s="196">
        <v>1.05</v>
      </c>
      <c r="L3313" s="186"/>
      <c r="M3313" s="50"/>
      <c r="N3313" s="50"/>
      <c r="O3313" s="5"/>
      <c r="P3313" s="9"/>
      <c r="Q3313" s="34"/>
      <c r="R3313" s="5"/>
      <c r="S3313" s="35"/>
    </row>
    <row r="3314" spans="1:23" ht="30" customHeight="1" x14ac:dyDescent="0.35">
      <c r="A3314" s="186"/>
      <c r="B3314" s="186"/>
      <c r="C3314" s="503"/>
      <c r="D3314" s="503"/>
      <c r="E3314" s="503"/>
      <c r="F3314" s="503"/>
      <c r="G3314" s="503"/>
      <c r="H3314" s="503"/>
      <c r="I3314" s="503"/>
      <c r="J3314" s="503" t="s">
        <v>37</v>
      </c>
      <c r="K3314" s="193">
        <f>+K3311*K3312/K3313</f>
        <v>223.72985904761902</v>
      </c>
      <c r="L3314" s="186" t="s">
        <v>108</v>
      </c>
      <c r="M3314" s="50"/>
      <c r="N3314" s="50"/>
      <c r="O3314" s="5"/>
      <c r="P3314" s="9"/>
      <c r="Q3314" s="34"/>
      <c r="R3314" s="5"/>
      <c r="S3314" s="35"/>
    </row>
    <row r="3315" spans="1:23" ht="30" customHeight="1" x14ac:dyDescent="0.35">
      <c r="A3315" s="186"/>
      <c r="B3315" s="186"/>
      <c r="C3315" s="503"/>
      <c r="D3315" s="503"/>
      <c r="E3315" s="503"/>
      <c r="F3315" s="503"/>
      <c r="G3315" s="1364" t="s">
        <v>257</v>
      </c>
      <c r="H3315" s="1364"/>
      <c r="I3315" s="1364"/>
      <c r="J3315" s="560">
        <f>VLOOKUP(B3307,'Mil Cost Premiums for PUCs'!$A$4:$R$285,18,FALSE)</f>
        <v>1.1141416296059998</v>
      </c>
      <c r="K3315" s="193">
        <f>+K3314*J3315</f>
        <v>249.26674975083489</v>
      </c>
      <c r="L3315" s="186" t="s">
        <v>108</v>
      </c>
      <c r="M3315" s="50"/>
      <c r="N3315" s="50"/>
    </row>
    <row r="3316" spans="1:23" ht="30" customHeight="1" thickBot="1" x14ac:dyDescent="0.4">
      <c r="A3316" s="186"/>
      <c r="B3316" s="186"/>
      <c r="C3316" s="503"/>
      <c r="D3316" s="503"/>
      <c r="E3316" s="503"/>
      <c r="F3316" s="503"/>
      <c r="G3316" s="1497" t="s">
        <v>3000</v>
      </c>
      <c r="H3316" s="1498"/>
      <c r="I3316" s="1499"/>
      <c r="J3316" s="560">
        <v>1.0438745311870361</v>
      </c>
      <c r="K3316" s="193">
        <f>+K3315*J3316</f>
        <v>260.20321153666902</v>
      </c>
      <c r="L3316" s="186" t="s">
        <v>108</v>
      </c>
      <c r="M3316" s="50"/>
      <c r="N3316" s="50"/>
      <c r="O3316" s="5"/>
      <c r="P3316" s="9"/>
      <c r="Q3316" s="34"/>
      <c r="R3316" s="5"/>
      <c r="S3316" s="35"/>
    </row>
    <row r="3317" spans="1:23" ht="30" customHeight="1" thickBot="1" x14ac:dyDescent="0.4">
      <c r="A3317" s="1199"/>
      <c r="B3317" s="1200"/>
      <c r="C3317" s="1200"/>
      <c r="D3317" s="1200"/>
      <c r="E3317" s="1200"/>
      <c r="F3317" s="1200"/>
      <c r="G3317" s="1200"/>
      <c r="H3317" s="1200"/>
      <c r="I3317" s="1200"/>
      <c r="J3317" s="1200"/>
      <c r="K3317" s="1200"/>
      <c r="L3317" s="1201"/>
      <c r="M3317" s="50"/>
      <c r="N3317" s="50"/>
      <c r="O3317" s="5"/>
      <c r="P3317" s="9"/>
      <c r="Q3317" s="34"/>
      <c r="R3317" s="5"/>
      <c r="S3317" s="35"/>
    </row>
    <row r="3318" spans="1:23" ht="30" customHeight="1" x14ac:dyDescent="0.35">
      <c r="A3318" s="388" t="s">
        <v>1</v>
      </c>
      <c r="B3318" s="389">
        <v>7386</v>
      </c>
      <c r="C3318" s="1205" t="s">
        <v>1420</v>
      </c>
      <c r="D3318" s="1206"/>
      <c r="E3318" s="392" t="s">
        <v>3</v>
      </c>
      <c r="F3318" s="393" t="s">
        <v>108</v>
      </c>
      <c r="G3318" s="390" t="s">
        <v>38</v>
      </c>
      <c r="H3318" s="132">
        <v>31689</v>
      </c>
      <c r="I3318" s="392" t="s">
        <v>5</v>
      </c>
      <c r="J3318" s="1207" t="s">
        <v>2874</v>
      </c>
      <c r="K3318" s="1207"/>
      <c r="L3318" s="1208"/>
      <c r="M3318" s="50"/>
      <c r="N3318" s="50"/>
      <c r="O3318" s="5"/>
      <c r="P3318" s="9"/>
      <c r="Q3318" s="34"/>
      <c r="R3318" s="5"/>
      <c r="S3318" s="35"/>
    </row>
    <row r="3319" spans="1:23" ht="30" customHeight="1" x14ac:dyDescent="0.35">
      <c r="A3319" s="494" t="s">
        <v>187</v>
      </c>
      <c r="B3319" s="1280" t="s">
        <v>211</v>
      </c>
      <c r="C3319" s="1281"/>
      <c r="D3319" s="1282"/>
      <c r="E3319" s="566" t="s">
        <v>52</v>
      </c>
      <c r="F3319" s="566" t="s">
        <v>53</v>
      </c>
      <c r="G3319" s="1219" t="s">
        <v>54</v>
      </c>
      <c r="H3319" s="1220"/>
      <c r="I3319" s="185" t="s">
        <v>188</v>
      </c>
      <c r="J3319" s="185"/>
      <c r="K3319" s="399" t="s">
        <v>180</v>
      </c>
      <c r="L3319" s="400"/>
      <c r="M3319" s="50"/>
      <c r="N3319" s="50"/>
      <c r="O3319" s="5"/>
      <c r="P3319" s="9"/>
      <c r="Q3319" s="34"/>
      <c r="R3319" s="5"/>
      <c r="S3319" s="35"/>
      <c r="U3319" s="396"/>
    </row>
    <row r="3320" spans="1:23" ht="30" customHeight="1" x14ac:dyDescent="0.35">
      <c r="A3320" s="790" t="s">
        <v>1421</v>
      </c>
      <c r="B3320" s="1202" t="s">
        <v>1422</v>
      </c>
      <c r="C3320" s="1203"/>
      <c r="D3320" s="1204"/>
      <c r="E3320" s="194">
        <v>214</v>
      </c>
      <c r="F3320" s="422" t="s">
        <v>108</v>
      </c>
      <c r="G3320" s="1058"/>
      <c r="H3320" s="1059"/>
      <c r="I3320" s="186">
        <v>0.98</v>
      </c>
      <c r="J3320" s="186"/>
      <c r="K3320" s="194">
        <f>+E3320*I3320</f>
        <v>209.72</v>
      </c>
      <c r="L3320" s="186" t="s">
        <v>108</v>
      </c>
      <c r="M3320" s="50"/>
      <c r="N3320" s="50"/>
      <c r="O3320" s="5"/>
      <c r="P3320" s="9"/>
      <c r="Q3320" s="34"/>
      <c r="R3320" s="5"/>
      <c r="S3320" s="35"/>
    </row>
    <row r="3321" spans="1:23" ht="30" customHeight="1" x14ac:dyDescent="0.35">
      <c r="A3321" s="186" t="s">
        <v>438</v>
      </c>
      <c r="B3321" s="1211" t="s">
        <v>1423</v>
      </c>
      <c r="C3321" s="1211"/>
      <c r="D3321" s="1211"/>
      <c r="E3321" s="194">
        <v>5.26</v>
      </c>
      <c r="F3321" s="186" t="s">
        <v>108</v>
      </c>
      <c r="G3321" s="186"/>
      <c r="H3321" s="186"/>
      <c r="I3321" s="186">
        <v>0.98</v>
      </c>
      <c r="J3321" s="186"/>
      <c r="K3321" s="194">
        <f>+E3321*I3321</f>
        <v>5.1547999999999998</v>
      </c>
      <c r="L3321" s="186" t="s">
        <v>108</v>
      </c>
      <c r="M3321" s="50"/>
      <c r="O3321" s="5"/>
      <c r="P3321" s="9"/>
      <c r="Q3321" s="34"/>
      <c r="R3321" s="5"/>
      <c r="S3321" s="35"/>
    </row>
    <row r="3322" spans="1:23" ht="30" customHeight="1" x14ac:dyDescent="0.35">
      <c r="A3322" s="186"/>
      <c r="B3322" s="186"/>
      <c r="C3322" s="503"/>
      <c r="D3322" s="503"/>
      <c r="E3322" s="503"/>
      <c r="F3322" s="503"/>
      <c r="G3322" s="503"/>
      <c r="H3322" s="503"/>
      <c r="I3322" s="503"/>
      <c r="J3322" s="186" t="s">
        <v>223</v>
      </c>
      <c r="K3322" s="193">
        <f>SUM(K3320:K3321)</f>
        <v>214.87479999999999</v>
      </c>
      <c r="L3322" s="186" t="s">
        <v>108</v>
      </c>
      <c r="M3322" s="50"/>
      <c r="N3322" s="50"/>
      <c r="O3322" s="5"/>
      <c r="P3322" s="9"/>
      <c r="Q3322" s="34"/>
      <c r="R3322" s="5"/>
      <c r="S3322" s="35"/>
    </row>
    <row r="3323" spans="1:23" ht="30" customHeight="1" x14ac:dyDescent="0.35">
      <c r="A3323" s="186"/>
      <c r="B3323" s="567"/>
      <c r="C3323" s="567"/>
      <c r="D3323" s="567"/>
      <c r="E3323" s="194"/>
      <c r="F3323" s="1215" t="s">
        <v>195</v>
      </c>
      <c r="G3323" s="1273" t="s">
        <v>196</v>
      </c>
      <c r="H3323" s="1273"/>
      <c r="I3323" s="1273"/>
      <c r="J3323" s="1273"/>
      <c r="K3323" s="196">
        <v>1.05</v>
      </c>
      <c r="L3323" s="186"/>
      <c r="M3323" s="50"/>
      <c r="N3323" s="50"/>
      <c r="O3323" s="5"/>
      <c r="P3323" s="384"/>
      <c r="Q3323" s="396"/>
      <c r="R3323" s="396"/>
      <c r="S3323" s="396"/>
      <c r="T3323" s="396"/>
    </row>
    <row r="3324" spans="1:23" ht="30" customHeight="1" x14ac:dyDescent="0.35">
      <c r="A3324" s="186"/>
      <c r="B3324" s="567"/>
      <c r="C3324" s="567"/>
      <c r="D3324" s="567"/>
      <c r="E3324" s="194"/>
      <c r="F3324" s="1216"/>
      <c r="G3324" s="1268" t="s">
        <v>2875</v>
      </c>
      <c r="H3324" s="1268"/>
      <c r="I3324" s="1268"/>
      <c r="J3324" s="1268"/>
      <c r="K3324" s="196">
        <v>1.07</v>
      </c>
      <c r="L3324" s="186"/>
      <c r="M3324" s="50"/>
      <c r="N3324" s="50"/>
      <c r="O3324" s="5"/>
      <c r="P3324" s="384"/>
      <c r="Q3324" s="396"/>
      <c r="R3324" s="396"/>
      <c r="S3324" s="396"/>
      <c r="T3324" s="396"/>
    </row>
    <row r="3325" spans="1:23" ht="30" customHeight="1" x14ac:dyDescent="0.35">
      <c r="A3325" s="186"/>
      <c r="B3325" s="186"/>
      <c r="C3325" s="503"/>
      <c r="D3325" s="503"/>
      <c r="E3325" s="503"/>
      <c r="F3325" s="503"/>
      <c r="G3325" s="503"/>
      <c r="H3325" s="503"/>
      <c r="I3325" s="503"/>
      <c r="J3325" s="186" t="s">
        <v>37</v>
      </c>
      <c r="K3325" s="193">
        <f>+K3322*K3323/K3324</f>
        <v>210.85844859813082</v>
      </c>
      <c r="L3325" s="186" t="s">
        <v>108</v>
      </c>
      <c r="M3325" s="50"/>
      <c r="N3325" s="50"/>
      <c r="O3325" s="5"/>
      <c r="P3325" s="384"/>
      <c r="Q3325" s="396"/>
      <c r="R3325" s="396"/>
      <c r="S3325" s="396"/>
      <c r="T3325" s="396"/>
    </row>
    <row r="3326" spans="1:23" ht="30" customHeight="1" thickBot="1" x14ac:dyDescent="0.4">
      <c r="A3326" s="186"/>
      <c r="B3326" s="186"/>
      <c r="C3326" s="503"/>
      <c r="D3326" s="503"/>
      <c r="E3326" s="503"/>
      <c r="F3326" s="503"/>
      <c r="G3326" s="1194" t="s">
        <v>257</v>
      </c>
      <c r="H3326" s="1195"/>
      <c r="I3326" s="1196"/>
      <c r="J3326" s="560">
        <f>VLOOKUP(B3318,'Mil Cost Premiums for PUCs'!$A$4:$R$285,18,FALSE)</f>
        <v>1.3319480854780448</v>
      </c>
      <c r="K3326" s="193">
        <f>+K3325*J3326</f>
        <v>280.85250691715106</v>
      </c>
      <c r="L3326" s="186" t="s">
        <v>108</v>
      </c>
      <c r="M3326" s="50"/>
      <c r="N3326" s="50"/>
      <c r="O3326" s="5"/>
      <c r="V3326" s="396"/>
      <c r="W3326" s="396"/>
    </row>
    <row r="3327" spans="1:23" ht="30" customHeight="1" thickBot="1" x14ac:dyDescent="0.4">
      <c r="A3327" s="1199"/>
      <c r="B3327" s="1200"/>
      <c r="C3327" s="1200"/>
      <c r="D3327" s="1200"/>
      <c r="E3327" s="1200"/>
      <c r="F3327" s="1200"/>
      <c r="G3327" s="1200"/>
      <c r="H3327" s="1200"/>
      <c r="I3327" s="1200"/>
      <c r="J3327" s="1200"/>
      <c r="K3327" s="1200"/>
      <c r="L3327" s="1201"/>
      <c r="N3327" s="50"/>
      <c r="O3327" s="5"/>
      <c r="U3327" s="10"/>
    </row>
    <row r="3328" spans="1:23" ht="30" customHeight="1" x14ac:dyDescent="0.35">
      <c r="A3328" s="388" t="s">
        <v>1</v>
      </c>
      <c r="B3328" s="389">
        <v>7387</v>
      </c>
      <c r="C3328" s="1205" t="s">
        <v>1424</v>
      </c>
      <c r="D3328" s="1206"/>
      <c r="E3328" s="392" t="s">
        <v>3</v>
      </c>
      <c r="F3328" s="393" t="s">
        <v>108</v>
      </c>
      <c r="G3328" s="390" t="s">
        <v>38</v>
      </c>
      <c r="H3328" s="132">
        <v>6635</v>
      </c>
      <c r="I3328" s="392" t="s">
        <v>5</v>
      </c>
      <c r="J3328" s="1207" t="s">
        <v>2874</v>
      </c>
      <c r="K3328" s="1207"/>
      <c r="L3328" s="1208"/>
      <c r="M3328" s="50"/>
      <c r="N3328" s="50"/>
      <c r="O3328" s="5"/>
      <c r="U3328" s="10"/>
    </row>
    <row r="3329" spans="1:26" ht="30" customHeight="1" x14ac:dyDescent="0.35">
      <c r="A3329" s="494" t="s">
        <v>187</v>
      </c>
      <c r="B3329" s="1280" t="s">
        <v>211</v>
      </c>
      <c r="C3329" s="1281"/>
      <c r="D3329" s="1282"/>
      <c r="E3329" s="566" t="s">
        <v>52</v>
      </c>
      <c r="F3329" s="566" t="s">
        <v>53</v>
      </c>
      <c r="G3329" s="1219" t="s">
        <v>54</v>
      </c>
      <c r="H3329" s="1220"/>
      <c r="I3329" s="185" t="s">
        <v>188</v>
      </c>
      <c r="J3329" s="185"/>
      <c r="K3329" s="399" t="s">
        <v>180</v>
      </c>
      <c r="L3329" s="400"/>
      <c r="M3329" s="50"/>
      <c r="N3329" s="50"/>
      <c r="O3329" s="5"/>
    </row>
    <row r="3330" spans="1:26" ht="30" customHeight="1" x14ac:dyDescent="0.35">
      <c r="A3330" s="790" t="s">
        <v>1358</v>
      </c>
      <c r="B3330" s="1202" t="s">
        <v>1359</v>
      </c>
      <c r="C3330" s="1203"/>
      <c r="D3330" s="1204"/>
      <c r="E3330" s="194">
        <v>111</v>
      </c>
      <c r="F3330" s="422" t="s">
        <v>108</v>
      </c>
      <c r="G3330" s="707"/>
      <c r="H3330" s="708"/>
      <c r="I3330" s="186">
        <v>1.08</v>
      </c>
      <c r="J3330" s="204"/>
      <c r="K3330" s="194">
        <f>+E3330*I3330</f>
        <v>119.88000000000001</v>
      </c>
      <c r="L3330" s="186" t="s">
        <v>108</v>
      </c>
      <c r="M3330" s="53"/>
      <c r="N3330" s="50"/>
      <c r="O3330" s="5"/>
      <c r="T3330" s="10"/>
    </row>
    <row r="3331" spans="1:26" ht="30" customHeight="1" x14ac:dyDescent="0.35">
      <c r="A3331" s="790" t="s">
        <v>267</v>
      </c>
      <c r="B3331" s="1202" t="s">
        <v>1425</v>
      </c>
      <c r="C3331" s="1203"/>
      <c r="D3331" s="1204"/>
      <c r="E3331" s="194">
        <v>65</v>
      </c>
      <c r="F3331" s="422" t="s">
        <v>108</v>
      </c>
      <c r="G3331" s="707"/>
      <c r="H3331" s="708"/>
      <c r="I3331" s="186">
        <v>1.0900000000000001</v>
      </c>
      <c r="J3331" s="204"/>
      <c r="K3331" s="194">
        <f>+E3331*I3331</f>
        <v>70.850000000000009</v>
      </c>
      <c r="L3331" s="186" t="s">
        <v>108</v>
      </c>
      <c r="M3331" s="64"/>
      <c r="N3331" s="50"/>
      <c r="O3331" s="5"/>
      <c r="T3331" s="10"/>
    </row>
    <row r="3332" spans="1:26" ht="30" customHeight="1" x14ac:dyDescent="0.35">
      <c r="A3332" s="790" t="s">
        <v>1216</v>
      </c>
      <c r="B3332" s="1202" t="s">
        <v>1261</v>
      </c>
      <c r="C3332" s="1203"/>
      <c r="D3332" s="1204"/>
      <c r="E3332" s="194">
        <v>144</v>
      </c>
      <c r="F3332" s="422" t="s">
        <v>108</v>
      </c>
      <c r="G3332" s="707"/>
      <c r="H3332" s="708"/>
      <c r="I3332" s="186">
        <v>1.0900000000000001</v>
      </c>
      <c r="J3332" s="186"/>
      <c r="K3332" s="194">
        <f>+E3332*I3332</f>
        <v>156.96</v>
      </c>
      <c r="L3332" s="186" t="s">
        <v>108</v>
      </c>
      <c r="M3332" s="50"/>
      <c r="N3332" s="50"/>
      <c r="O3332" s="5"/>
      <c r="P3332" s="9"/>
      <c r="Q3332" s="34"/>
      <c r="R3332" s="5"/>
      <c r="S3332" s="35"/>
    </row>
    <row r="3333" spans="1:26" ht="30" customHeight="1" x14ac:dyDescent="0.35">
      <c r="A3333" s="790" t="s">
        <v>1426</v>
      </c>
      <c r="B3333" s="1202" t="s">
        <v>1427</v>
      </c>
      <c r="C3333" s="1203"/>
      <c r="D3333" s="1204"/>
      <c r="E3333" s="194">
        <v>73</v>
      </c>
      <c r="F3333" s="422" t="s">
        <v>108</v>
      </c>
      <c r="G3333" s="707"/>
      <c r="H3333" s="708"/>
      <c r="I3333" s="186">
        <v>1.0900000000000001</v>
      </c>
      <c r="J3333" s="186"/>
      <c r="K3333" s="194">
        <f>+E3333*I3333</f>
        <v>79.570000000000007</v>
      </c>
      <c r="L3333" s="186" t="s">
        <v>108</v>
      </c>
      <c r="M3333" s="50"/>
      <c r="N3333" s="50"/>
    </row>
    <row r="3334" spans="1:26" ht="30" customHeight="1" x14ac:dyDescent="0.35">
      <c r="A3334" s="790"/>
      <c r="B3334" s="1202" t="s">
        <v>1428</v>
      </c>
      <c r="C3334" s="1203"/>
      <c r="D3334" s="1204"/>
      <c r="E3334" s="194"/>
      <c r="F3334" s="707"/>
      <c r="G3334" s="707"/>
      <c r="H3334" s="708"/>
      <c r="I3334" s="136"/>
      <c r="J3334" s="186" t="s">
        <v>192</v>
      </c>
      <c r="K3334" s="194">
        <f>AVERAGE(K3330:K3333)</f>
        <v>106.81500000000001</v>
      </c>
      <c r="L3334" s="186" t="s">
        <v>108</v>
      </c>
      <c r="M3334" s="50"/>
      <c r="N3334" s="50"/>
      <c r="O3334" s="5"/>
      <c r="P3334" s="9"/>
      <c r="Q3334" s="34"/>
      <c r="R3334" s="5"/>
      <c r="S3334" s="35"/>
      <c r="X3334" s="396"/>
      <c r="Y3334" s="396"/>
    </row>
    <row r="3335" spans="1:26" ht="30" customHeight="1" x14ac:dyDescent="0.35">
      <c r="A3335" s="790" t="s">
        <v>249</v>
      </c>
      <c r="B3335" s="1211" t="s">
        <v>1429</v>
      </c>
      <c r="C3335" s="1211"/>
      <c r="D3335" s="1211"/>
      <c r="E3335" s="194">
        <v>4.5599999999999996</v>
      </c>
      <c r="F3335" s="707" t="s">
        <v>108</v>
      </c>
      <c r="G3335" s="707"/>
      <c r="H3335" s="708"/>
      <c r="I3335" s="186">
        <v>1.0900000000000001</v>
      </c>
      <c r="J3335" s="186"/>
      <c r="K3335" s="194">
        <f>+E3335*I3335</f>
        <v>4.9703999999999997</v>
      </c>
      <c r="L3335" s="186" t="s">
        <v>108</v>
      </c>
      <c r="M3335" s="50"/>
      <c r="N3335" s="50"/>
      <c r="O3335" s="5"/>
      <c r="P3335" s="9"/>
      <c r="Q3335" s="34"/>
      <c r="R3335" s="5"/>
      <c r="S3335" s="35"/>
      <c r="Z3335" s="396"/>
    </row>
    <row r="3336" spans="1:26" ht="30" customHeight="1" x14ac:dyDescent="0.35">
      <c r="A3336" s="186"/>
      <c r="B3336" s="1211"/>
      <c r="C3336" s="1211"/>
      <c r="D3336" s="1211"/>
      <c r="E3336" s="194"/>
      <c r="F3336" s="186"/>
      <c r="G3336" s="186"/>
      <c r="H3336" s="186"/>
      <c r="I3336" s="186"/>
      <c r="J3336" s="186" t="s">
        <v>223</v>
      </c>
      <c r="K3336" s="984">
        <f>SUM(K3334:K3335)</f>
        <v>111.78540000000001</v>
      </c>
      <c r="L3336" s="186" t="s">
        <v>108</v>
      </c>
      <c r="M3336" s="50"/>
      <c r="N3336" s="50"/>
      <c r="O3336" s="5"/>
      <c r="P3336" s="9"/>
      <c r="Q3336" s="34"/>
      <c r="R3336" s="5"/>
      <c r="S3336" s="35"/>
    </row>
    <row r="3337" spans="1:26" ht="30" customHeight="1" x14ac:dyDescent="0.35">
      <c r="A3337" s="186"/>
      <c r="B3337" s="567"/>
      <c r="C3337" s="567"/>
      <c r="D3337" s="567"/>
      <c r="E3337" s="194"/>
      <c r="F3337" s="1215" t="s">
        <v>195</v>
      </c>
      <c r="G3337" s="1273" t="s">
        <v>196</v>
      </c>
      <c r="H3337" s="1273"/>
      <c r="I3337" s="1273"/>
      <c r="J3337" s="1273"/>
      <c r="K3337" s="196">
        <v>1.05</v>
      </c>
      <c r="L3337" s="186"/>
      <c r="M3337" s="50"/>
      <c r="N3337" s="50"/>
      <c r="O3337" s="572"/>
      <c r="P3337" s="9"/>
      <c r="Q3337" s="34"/>
      <c r="R3337" s="5"/>
      <c r="S3337" s="35"/>
    </row>
    <row r="3338" spans="1:26" ht="30" customHeight="1" x14ac:dyDescent="0.35">
      <c r="A3338" s="186"/>
      <c r="B3338" s="567"/>
      <c r="C3338" s="567"/>
      <c r="D3338" s="567"/>
      <c r="E3338" s="194"/>
      <c r="F3338" s="1216"/>
      <c r="G3338" s="1268" t="s">
        <v>2875</v>
      </c>
      <c r="H3338" s="1268"/>
      <c r="I3338" s="1268"/>
      <c r="J3338" s="1268"/>
      <c r="K3338" s="196">
        <v>1.07</v>
      </c>
      <c r="L3338" s="186"/>
      <c r="M3338" s="50"/>
      <c r="N3338" s="50"/>
      <c r="P3338" s="9"/>
      <c r="Q3338" s="34"/>
      <c r="R3338" s="5"/>
      <c r="S3338" s="35"/>
    </row>
    <row r="3339" spans="1:26" ht="30" customHeight="1" x14ac:dyDescent="0.35">
      <c r="A3339" s="186"/>
      <c r="B3339" s="186"/>
      <c r="C3339" s="503"/>
      <c r="D3339" s="503"/>
      <c r="E3339" s="503"/>
      <c r="F3339" s="503"/>
      <c r="G3339" s="503"/>
      <c r="H3339" s="503"/>
      <c r="I3339" s="503"/>
      <c r="J3339" s="186" t="s">
        <v>37</v>
      </c>
      <c r="K3339" s="193">
        <f>+K3336*K3337/K3338</f>
        <v>109.69595327102805</v>
      </c>
      <c r="L3339" s="186" t="s">
        <v>108</v>
      </c>
      <c r="M3339" s="50"/>
      <c r="N3339" s="50"/>
      <c r="P3339" s="9"/>
      <c r="Q3339" s="34"/>
      <c r="R3339" s="5"/>
      <c r="S3339" s="35"/>
    </row>
    <row r="3340" spans="1:26" ht="30" customHeight="1" thickBot="1" x14ac:dyDescent="0.4">
      <c r="A3340" s="186"/>
      <c r="B3340" s="186"/>
      <c r="C3340" s="503"/>
      <c r="D3340" s="503"/>
      <c r="E3340" s="503"/>
      <c r="F3340" s="503"/>
      <c r="G3340" s="1194" t="s">
        <v>257</v>
      </c>
      <c r="H3340" s="1195"/>
      <c r="I3340" s="1196"/>
      <c r="J3340" s="560">
        <f>VLOOKUP(B3328,'Mil Cost Premiums for PUCs'!$A$4:$R$285,18,FALSE)</f>
        <v>1.0209999999999999</v>
      </c>
      <c r="K3340" s="193">
        <f>+K3339*J3340</f>
        <v>111.99956828971962</v>
      </c>
      <c r="L3340" s="186" t="s">
        <v>108</v>
      </c>
      <c r="M3340" s="50"/>
      <c r="N3340" s="50"/>
      <c r="P3340" s="9"/>
      <c r="Q3340" s="34"/>
      <c r="R3340" s="5"/>
      <c r="S3340" s="35"/>
    </row>
    <row r="3341" spans="1:26" ht="30" customHeight="1" thickBot="1" x14ac:dyDescent="0.4">
      <c r="A3341" s="1199"/>
      <c r="B3341" s="1200"/>
      <c r="C3341" s="1200"/>
      <c r="D3341" s="1200"/>
      <c r="E3341" s="1200"/>
      <c r="F3341" s="1200"/>
      <c r="G3341" s="1200"/>
      <c r="H3341" s="1200"/>
      <c r="I3341" s="1200"/>
      <c r="J3341" s="1200"/>
      <c r="K3341" s="1200"/>
      <c r="L3341" s="1201"/>
      <c r="N3341" s="50"/>
      <c r="P3341" s="9"/>
      <c r="Q3341" s="34"/>
      <c r="R3341" s="5"/>
      <c r="S3341" s="35"/>
    </row>
    <row r="3342" spans="1:26" ht="30" customHeight="1" x14ac:dyDescent="0.35">
      <c r="A3342" s="388" t="s">
        <v>1</v>
      </c>
      <c r="B3342" s="389">
        <v>7388</v>
      </c>
      <c r="C3342" s="1290" t="s">
        <v>1430</v>
      </c>
      <c r="D3342" s="1291"/>
      <c r="E3342" s="392" t="s">
        <v>3</v>
      </c>
      <c r="F3342" s="393" t="s">
        <v>108</v>
      </c>
      <c r="G3342" s="390" t="s">
        <v>38</v>
      </c>
      <c r="H3342" s="135">
        <v>22334</v>
      </c>
      <c r="I3342" s="392" t="s">
        <v>5</v>
      </c>
      <c r="J3342" s="1207" t="s">
        <v>2470</v>
      </c>
      <c r="K3342" s="1207"/>
      <c r="L3342" s="1208"/>
      <c r="M3342" s="96"/>
      <c r="N3342" s="50"/>
      <c r="O3342" s="5"/>
      <c r="P3342" s="9"/>
      <c r="Q3342" s="34"/>
      <c r="R3342" s="5"/>
      <c r="S3342" s="35"/>
    </row>
    <row r="3343" spans="1:26" ht="30" customHeight="1" x14ac:dyDescent="0.35">
      <c r="A3343" s="185" t="s">
        <v>177</v>
      </c>
      <c r="B3343" s="1272" t="s">
        <v>7</v>
      </c>
      <c r="C3343" s="1272"/>
      <c r="D3343" s="1272"/>
      <c r="E3343" s="185" t="s">
        <v>178</v>
      </c>
      <c r="F3343" s="185" t="s">
        <v>52</v>
      </c>
      <c r="G3343" s="1221"/>
      <c r="H3343" s="1222"/>
      <c r="I3343" s="1223" t="s">
        <v>56</v>
      </c>
      <c r="J3343" s="1224"/>
      <c r="K3343" s="1249" t="s">
        <v>180</v>
      </c>
      <c r="L3343" s="1250"/>
      <c r="M3343" s="96"/>
      <c r="P3343" s="9"/>
      <c r="Q3343" s="34"/>
      <c r="R3343" s="5"/>
      <c r="S3343" s="35"/>
    </row>
    <row r="3344" spans="1:26" ht="30" customHeight="1" x14ac:dyDescent="0.35">
      <c r="A3344" s="186" t="s">
        <v>181</v>
      </c>
      <c r="B3344" s="1212" t="s">
        <v>1431</v>
      </c>
      <c r="C3344" s="1213"/>
      <c r="D3344" s="1214"/>
      <c r="E3344" s="211">
        <v>26000</v>
      </c>
      <c r="F3344" s="349">
        <v>245</v>
      </c>
      <c r="G3344" s="525"/>
      <c r="H3344" s="401"/>
      <c r="I3344" s="1217">
        <v>1.0438745311870332</v>
      </c>
      <c r="J3344" s="1218"/>
      <c r="K3344" s="287">
        <f>+F3344*+I3344</f>
        <v>255.74926014082314</v>
      </c>
      <c r="L3344" s="401" t="s">
        <v>108</v>
      </c>
      <c r="M3344" s="50"/>
      <c r="N3344" s="50"/>
      <c r="P3344" s="9"/>
      <c r="Q3344" s="34"/>
      <c r="R3344" s="5"/>
      <c r="S3344" s="35"/>
    </row>
    <row r="3345" spans="1:19" ht="30" customHeight="1" thickBot="1" x14ac:dyDescent="0.4">
      <c r="A3345" s="186"/>
      <c r="B3345" s="1202" t="s">
        <v>434</v>
      </c>
      <c r="C3345" s="1203"/>
      <c r="D3345" s="1204"/>
      <c r="E3345" s="520"/>
      <c r="F3345" s="784"/>
      <c r="G3345" s="520"/>
      <c r="H3345" s="750"/>
      <c r="I3345" s="503"/>
      <c r="J3345" s="494" t="s">
        <v>37</v>
      </c>
      <c r="K3345" s="190">
        <f>SUM(K3344:K3344)</f>
        <v>255.74926014082314</v>
      </c>
      <c r="L3345" s="401" t="s">
        <v>108</v>
      </c>
      <c r="M3345" s="50"/>
      <c r="N3345" s="50"/>
      <c r="O3345" s="5"/>
      <c r="P3345" s="9"/>
      <c r="Q3345" s="34"/>
      <c r="R3345" s="5"/>
      <c r="S3345" s="35"/>
    </row>
    <row r="3346" spans="1:19" ht="30" customHeight="1" thickBot="1" x14ac:dyDescent="0.4">
      <c r="A3346" s="1199"/>
      <c r="B3346" s="1200"/>
      <c r="C3346" s="1200"/>
      <c r="D3346" s="1200"/>
      <c r="E3346" s="1200"/>
      <c r="F3346" s="1200"/>
      <c r="G3346" s="1200"/>
      <c r="H3346" s="1200"/>
      <c r="I3346" s="1200"/>
      <c r="J3346" s="1200"/>
      <c r="K3346" s="1200"/>
      <c r="L3346" s="1201"/>
      <c r="M3346" s="50"/>
      <c r="N3346" s="50"/>
      <c r="O3346" s="5"/>
      <c r="P3346" s="9"/>
      <c r="Q3346" s="34"/>
      <c r="R3346" s="5"/>
      <c r="S3346" s="35"/>
    </row>
    <row r="3347" spans="1:19" ht="30" customHeight="1" x14ac:dyDescent="0.35">
      <c r="A3347" s="388" t="s">
        <v>1</v>
      </c>
      <c r="B3347" s="389">
        <v>7389</v>
      </c>
      <c r="C3347" s="1290" t="s">
        <v>1432</v>
      </c>
      <c r="D3347" s="1291"/>
      <c r="E3347" s="392" t="s">
        <v>3</v>
      </c>
      <c r="F3347" s="393" t="s">
        <v>108</v>
      </c>
      <c r="G3347" s="390" t="s">
        <v>38</v>
      </c>
      <c r="H3347" s="135">
        <v>3614</v>
      </c>
      <c r="I3347" s="392" t="s">
        <v>5</v>
      </c>
      <c r="J3347" s="1207" t="s">
        <v>2874</v>
      </c>
      <c r="K3347" s="1207"/>
      <c r="L3347" s="1208"/>
      <c r="M3347" s="50"/>
      <c r="N3347" s="50"/>
      <c r="O3347" s="5"/>
      <c r="P3347" s="9"/>
      <c r="Q3347" s="34"/>
      <c r="R3347" s="5"/>
      <c r="S3347" s="35"/>
    </row>
    <row r="3348" spans="1:19" ht="30" customHeight="1" x14ac:dyDescent="0.35">
      <c r="A3348" s="494" t="s">
        <v>187</v>
      </c>
      <c r="B3348" s="1280" t="s">
        <v>211</v>
      </c>
      <c r="C3348" s="1281"/>
      <c r="D3348" s="1282"/>
      <c r="E3348" s="566" t="s">
        <v>52</v>
      </c>
      <c r="F3348" s="566" t="s">
        <v>53</v>
      </c>
      <c r="G3348" s="1209" t="s">
        <v>54</v>
      </c>
      <c r="H3348" s="1210"/>
      <c r="I3348" s="185" t="s">
        <v>188</v>
      </c>
      <c r="J3348" s="185"/>
      <c r="K3348" s="1249" t="s">
        <v>180</v>
      </c>
      <c r="L3348" s="1250"/>
      <c r="M3348" s="50"/>
      <c r="N3348" s="50"/>
      <c r="O3348" s="5"/>
      <c r="P3348" s="9"/>
      <c r="Q3348" s="34"/>
      <c r="R3348" s="5"/>
      <c r="S3348" s="35"/>
    </row>
    <row r="3349" spans="1:19" ht="30" customHeight="1" x14ac:dyDescent="0.35">
      <c r="A3349" s="790" t="s">
        <v>1426</v>
      </c>
      <c r="B3349" s="1202" t="s">
        <v>1433</v>
      </c>
      <c r="C3349" s="1203"/>
      <c r="D3349" s="1204"/>
      <c r="E3349" s="194">
        <v>73</v>
      </c>
      <c r="F3349" s="422" t="s">
        <v>108</v>
      </c>
      <c r="G3349" s="1058"/>
      <c r="H3349" s="1059"/>
      <c r="I3349" s="186">
        <v>1.0900000000000001</v>
      </c>
      <c r="J3349" s="186"/>
      <c r="K3349" s="194">
        <f>+E3349*I3349</f>
        <v>79.570000000000007</v>
      </c>
      <c r="L3349" s="186" t="s">
        <v>108</v>
      </c>
      <c r="M3349" s="50"/>
      <c r="N3349" s="50"/>
      <c r="O3349" s="5"/>
      <c r="P3349" s="9"/>
      <c r="Q3349" s="34"/>
      <c r="R3349" s="5"/>
      <c r="S3349" s="35"/>
    </row>
    <row r="3350" spans="1:19" ht="30" customHeight="1" x14ac:dyDescent="0.35">
      <c r="A3350" s="790" t="s">
        <v>1403</v>
      </c>
      <c r="B3350" s="1202" t="s">
        <v>1404</v>
      </c>
      <c r="C3350" s="1203"/>
      <c r="D3350" s="1204"/>
      <c r="E3350" s="194">
        <v>155</v>
      </c>
      <c r="F3350" s="422" t="s">
        <v>108</v>
      </c>
      <c r="G3350" s="1058"/>
      <c r="H3350" s="1059"/>
      <c r="I3350" s="186">
        <v>1.0900000000000001</v>
      </c>
      <c r="J3350" s="186"/>
      <c r="K3350" s="194">
        <f>+E3350*I3350</f>
        <v>168.95000000000002</v>
      </c>
      <c r="L3350" s="186"/>
      <c r="M3350" s="50"/>
      <c r="N3350" s="50"/>
      <c r="O3350" s="5"/>
      <c r="P3350" s="9"/>
      <c r="Q3350" s="34"/>
      <c r="R3350" s="5"/>
      <c r="S3350" s="35"/>
    </row>
    <row r="3351" spans="1:19" ht="30" customHeight="1" x14ac:dyDescent="0.35">
      <c r="A3351" s="186" t="s">
        <v>285</v>
      </c>
      <c r="B3351" s="1202" t="s">
        <v>1434</v>
      </c>
      <c r="C3351" s="1203"/>
      <c r="D3351" s="1204"/>
      <c r="E3351" s="194">
        <v>5.91</v>
      </c>
      <c r="F3351" s="186" t="s">
        <v>108</v>
      </c>
      <c r="G3351" s="186"/>
      <c r="H3351" s="186"/>
      <c r="I3351" s="186">
        <v>1.0900000000000001</v>
      </c>
      <c r="J3351" s="186"/>
      <c r="K3351" s="194">
        <f>+E3351*I3351</f>
        <v>6.4419000000000004</v>
      </c>
      <c r="L3351" s="186" t="s">
        <v>108</v>
      </c>
      <c r="M3351" s="50"/>
      <c r="N3351" s="50"/>
      <c r="O3351" s="5"/>
      <c r="P3351" s="9"/>
      <c r="Q3351" s="34"/>
      <c r="R3351" s="5"/>
      <c r="S3351" s="35"/>
    </row>
    <row r="3352" spans="1:19" ht="30" customHeight="1" x14ac:dyDescent="0.35">
      <c r="A3352" s="186"/>
      <c r="B3352" s="186"/>
      <c r="C3352" s="503"/>
      <c r="D3352" s="503"/>
      <c r="E3352" s="503"/>
      <c r="F3352" s="503"/>
      <c r="G3352" s="503"/>
      <c r="H3352" s="503"/>
      <c r="I3352" s="503"/>
      <c r="J3352" s="186" t="s">
        <v>223</v>
      </c>
      <c r="K3352" s="193">
        <f>SUM(K3349:K3351)</f>
        <v>254.96190000000004</v>
      </c>
      <c r="L3352" s="186" t="s">
        <v>108</v>
      </c>
      <c r="M3352" s="50"/>
      <c r="N3352" s="9"/>
      <c r="O3352" s="5"/>
      <c r="P3352" s="9"/>
      <c r="Q3352" s="34"/>
      <c r="R3352" s="5"/>
      <c r="S3352" s="35"/>
    </row>
    <row r="3353" spans="1:19" ht="30" customHeight="1" x14ac:dyDescent="0.35">
      <c r="A3353" s="186"/>
      <c r="B3353" s="567"/>
      <c r="C3353" s="567"/>
      <c r="D3353" s="567"/>
      <c r="E3353" s="194"/>
      <c r="F3353" s="1215" t="s">
        <v>195</v>
      </c>
      <c r="G3353" s="1329" t="s">
        <v>196</v>
      </c>
      <c r="H3353" s="1330"/>
      <c r="I3353" s="1330"/>
      <c r="J3353" s="1331"/>
      <c r="K3353" s="196">
        <v>1.05</v>
      </c>
      <c r="L3353" s="186"/>
      <c r="M3353" s="50"/>
      <c r="N3353" s="50"/>
      <c r="O3353" s="5"/>
      <c r="P3353" s="9"/>
      <c r="Q3353" s="34"/>
      <c r="R3353" s="5"/>
      <c r="S3353" s="35"/>
    </row>
    <row r="3354" spans="1:19" ht="30" customHeight="1" x14ac:dyDescent="0.35">
      <c r="A3354" s="186"/>
      <c r="B3354" s="567"/>
      <c r="C3354" s="567"/>
      <c r="D3354" s="567"/>
      <c r="E3354" s="194"/>
      <c r="F3354" s="1216"/>
      <c r="G3354" s="1268" t="s">
        <v>2875</v>
      </c>
      <c r="H3354" s="1268"/>
      <c r="I3354" s="1268"/>
      <c r="J3354" s="1268"/>
      <c r="K3354" s="196">
        <v>1.07</v>
      </c>
      <c r="L3354" s="186"/>
      <c r="M3354" s="50"/>
      <c r="N3354" s="50"/>
      <c r="O3354" s="5"/>
      <c r="P3354" s="9"/>
      <c r="Q3354" s="34"/>
      <c r="R3354" s="5"/>
      <c r="S3354" s="35"/>
    </row>
    <row r="3355" spans="1:19" ht="30" customHeight="1" x14ac:dyDescent="0.35">
      <c r="A3355" s="186"/>
      <c r="B3355" s="186"/>
      <c r="C3355" s="503"/>
      <c r="D3355" s="503"/>
      <c r="E3355" s="503"/>
      <c r="F3355" s="503"/>
      <c r="G3355" s="503"/>
      <c r="H3355" s="503"/>
      <c r="I3355" s="503"/>
      <c r="J3355" s="186" t="s">
        <v>37</v>
      </c>
      <c r="K3355" s="193">
        <f>+K3352*K3353/K3354</f>
        <v>250.19625700934583</v>
      </c>
      <c r="L3355" s="186" t="s">
        <v>108</v>
      </c>
      <c r="M3355" s="50"/>
      <c r="N3355" s="50"/>
      <c r="O3355" s="5"/>
      <c r="P3355" s="9"/>
      <c r="Q3355" s="34"/>
      <c r="R3355" s="5"/>
      <c r="S3355" s="35"/>
    </row>
    <row r="3356" spans="1:19" ht="30" customHeight="1" thickBot="1" x14ac:dyDescent="0.4">
      <c r="A3356" s="186"/>
      <c r="B3356" s="186"/>
      <c r="C3356" s="503"/>
      <c r="D3356" s="503"/>
      <c r="E3356" s="503"/>
      <c r="F3356" s="503"/>
      <c r="G3356" s="1194" t="s">
        <v>257</v>
      </c>
      <c r="H3356" s="1195"/>
      <c r="I3356" s="1196"/>
      <c r="J3356" s="560">
        <v>1.0209999999999999</v>
      </c>
      <c r="K3356" s="193">
        <f>+K3355*J3356</f>
        <v>255.45037840654206</v>
      </c>
      <c r="L3356" s="186" t="s">
        <v>108</v>
      </c>
      <c r="M3356" s="50"/>
      <c r="N3356" s="50"/>
      <c r="O3356" s="5"/>
      <c r="P3356" s="9"/>
      <c r="Q3356" s="34"/>
      <c r="R3356" s="5"/>
      <c r="S3356" s="35"/>
    </row>
    <row r="3357" spans="1:19" ht="30" customHeight="1" thickBot="1" x14ac:dyDescent="0.4">
      <c r="A3357" s="1199"/>
      <c r="B3357" s="1200"/>
      <c r="C3357" s="1200"/>
      <c r="D3357" s="1200"/>
      <c r="E3357" s="1200"/>
      <c r="F3357" s="1200"/>
      <c r="G3357" s="1200"/>
      <c r="H3357" s="1200"/>
      <c r="I3357" s="1200"/>
      <c r="J3357" s="1200"/>
      <c r="K3357" s="1200"/>
      <c r="L3357" s="1201"/>
      <c r="N3357" s="50"/>
      <c r="O3357" s="5"/>
      <c r="P3357" s="9"/>
      <c r="Q3357" s="34"/>
      <c r="R3357" s="5"/>
      <c r="S3357" s="35"/>
    </row>
    <row r="3358" spans="1:19" ht="30" customHeight="1" x14ac:dyDescent="0.35">
      <c r="A3358" s="388" t="s">
        <v>1</v>
      </c>
      <c r="B3358" s="389">
        <v>7411</v>
      </c>
      <c r="C3358" s="1205" t="s">
        <v>1435</v>
      </c>
      <c r="D3358" s="1206"/>
      <c r="E3358" s="392" t="s">
        <v>3</v>
      </c>
      <c r="F3358" s="393" t="s">
        <v>108</v>
      </c>
      <c r="G3358" s="390" t="s">
        <v>38</v>
      </c>
      <c r="H3358" s="132">
        <v>7183</v>
      </c>
      <c r="I3358" s="392" t="s">
        <v>5</v>
      </c>
      <c r="J3358" s="1207" t="s">
        <v>2874</v>
      </c>
      <c r="K3358" s="1207"/>
      <c r="L3358" s="1208"/>
      <c r="M3358" s="50"/>
      <c r="N3358" s="50"/>
      <c r="O3358" s="5"/>
      <c r="P3358" s="9"/>
      <c r="Q3358" s="34"/>
      <c r="R3358" s="5"/>
      <c r="S3358" s="35"/>
    </row>
    <row r="3359" spans="1:19" ht="30" customHeight="1" x14ac:dyDescent="0.35">
      <c r="A3359" s="494" t="s">
        <v>187</v>
      </c>
      <c r="B3359" s="1280" t="s">
        <v>211</v>
      </c>
      <c r="C3359" s="1281"/>
      <c r="D3359" s="1282"/>
      <c r="E3359" s="566" t="s">
        <v>52</v>
      </c>
      <c r="F3359" s="566" t="s">
        <v>53</v>
      </c>
      <c r="G3359" s="1219" t="s">
        <v>54</v>
      </c>
      <c r="H3359" s="1220"/>
      <c r="I3359" s="185" t="s">
        <v>188</v>
      </c>
      <c r="J3359" s="185"/>
      <c r="K3359" s="399" t="s">
        <v>180</v>
      </c>
      <c r="L3359" s="400"/>
      <c r="M3359" s="50"/>
      <c r="N3359" s="50"/>
      <c r="O3359" s="5"/>
      <c r="P3359" s="9"/>
      <c r="Q3359" s="34"/>
      <c r="R3359" s="5"/>
      <c r="S3359" s="35"/>
    </row>
    <row r="3360" spans="1:19" ht="30" customHeight="1" x14ac:dyDescent="0.35">
      <c r="A3360" s="790" t="s">
        <v>1403</v>
      </c>
      <c r="B3360" s="1202" t="s">
        <v>1404</v>
      </c>
      <c r="C3360" s="1203"/>
      <c r="D3360" s="1204"/>
      <c r="E3360" s="194">
        <v>155</v>
      </c>
      <c r="F3360" s="422" t="s">
        <v>108</v>
      </c>
      <c r="G3360" s="1058"/>
      <c r="H3360" s="1059"/>
      <c r="I3360" s="186">
        <v>1.0900000000000001</v>
      </c>
      <c r="J3360" s="186"/>
      <c r="K3360" s="194">
        <f>+E3360*I3360</f>
        <v>168.95000000000002</v>
      </c>
      <c r="L3360" s="186" t="s">
        <v>108</v>
      </c>
      <c r="M3360" s="50"/>
      <c r="N3360" s="96"/>
      <c r="O3360" s="5"/>
      <c r="P3360" s="9"/>
      <c r="Q3360" s="34"/>
      <c r="R3360" s="5"/>
      <c r="S3360" s="35"/>
    </row>
    <row r="3361" spans="1:26" ht="30" customHeight="1" x14ac:dyDescent="0.35">
      <c r="A3361" s="186" t="s">
        <v>285</v>
      </c>
      <c r="B3361" s="1211" t="s">
        <v>1436</v>
      </c>
      <c r="C3361" s="1211"/>
      <c r="D3361" s="1211"/>
      <c r="E3361" s="194">
        <v>4.8899999999999997</v>
      </c>
      <c r="F3361" s="186" t="s">
        <v>108</v>
      </c>
      <c r="G3361" s="186"/>
      <c r="H3361" s="186"/>
      <c r="I3361" s="186">
        <v>1.0900000000000001</v>
      </c>
      <c r="J3361" s="186"/>
      <c r="K3361" s="194">
        <f>+E3361*I3361</f>
        <v>5.3300999999999998</v>
      </c>
      <c r="L3361" s="186" t="s">
        <v>108</v>
      </c>
      <c r="M3361" s="50"/>
      <c r="N3361" s="50"/>
      <c r="O3361" s="5"/>
      <c r="P3361" s="9"/>
      <c r="Q3361" s="34"/>
      <c r="R3361" s="5"/>
      <c r="S3361" s="35"/>
    </row>
    <row r="3362" spans="1:26" ht="30" customHeight="1" x14ac:dyDescent="0.35">
      <c r="A3362" s="186"/>
      <c r="B3362" s="186"/>
      <c r="C3362" s="503"/>
      <c r="D3362" s="503"/>
      <c r="E3362" s="503"/>
      <c r="F3362" s="503"/>
      <c r="G3362" s="503"/>
      <c r="H3362" s="503"/>
      <c r="I3362" s="503"/>
      <c r="J3362" s="186" t="s">
        <v>223</v>
      </c>
      <c r="K3362" s="193">
        <f>SUM(K3360:K3361)</f>
        <v>174.2801</v>
      </c>
      <c r="L3362" s="186" t="s">
        <v>108</v>
      </c>
      <c r="M3362" s="50"/>
      <c r="N3362" s="50"/>
      <c r="O3362" s="5"/>
      <c r="P3362" s="9"/>
      <c r="Q3362" s="34"/>
      <c r="R3362" s="5"/>
      <c r="S3362" s="35"/>
    </row>
    <row r="3363" spans="1:26" ht="30" customHeight="1" x14ac:dyDescent="0.35">
      <c r="A3363" s="186"/>
      <c r="B3363" s="567"/>
      <c r="C3363" s="567"/>
      <c r="D3363" s="567"/>
      <c r="E3363" s="194"/>
      <c r="F3363" s="1215" t="s">
        <v>195</v>
      </c>
      <c r="G3363" s="1273" t="s">
        <v>196</v>
      </c>
      <c r="H3363" s="1273"/>
      <c r="I3363" s="1273"/>
      <c r="J3363" s="1273"/>
      <c r="K3363" s="196">
        <v>1.05</v>
      </c>
      <c r="L3363" s="186"/>
      <c r="M3363" s="166"/>
      <c r="N3363" s="50"/>
      <c r="O3363" s="5"/>
      <c r="P3363" s="9"/>
      <c r="Q3363" s="34"/>
      <c r="R3363" s="5"/>
      <c r="S3363" s="35"/>
      <c r="U3363" s="396"/>
    </row>
    <row r="3364" spans="1:26" ht="30" customHeight="1" x14ac:dyDescent="0.35">
      <c r="A3364" s="186"/>
      <c r="B3364" s="567"/>
      <c r="C3364" s="567"/>
      <c r="D3364" s="567"/>
      <c r="E3364" s="194"/>
      <c r="F3364" s="1216"/>
      <c r="G3364" s="1268" t="s">
        <v>2875</v>
      </c>
      <c r="H3364" s="1268"/>
      <c r="I3364" s="1268"/>
      <c r="J3364" s="1268"/>
      <c r="K3364" s="196">
        <v>1.07</v>
      </c>
      <c r="L3364" s="186"/>
      <c r="M3364" s="165"/>
      <c r="N3364" s="50"/>
      <c r="O3364" s="5"/>
      <c r="P3364" s="9"/>
      <c r="Q3364" s="34"/>
      <c r="R3364" s="5"/>
      <c r="S3364" s="35"/>
      <c r="U3364" s="396"/>
      <c r="V3364" s="396"/>
      <c r="W3364" s="396"/>
      <c r="X3364" s="396"/>
      <c r="Y3364" s="396"/>
    </row>
    <row r="3365" spans="1:26" ht="30" customHeight="1" x14ac:dyDescent="0.35">
      <c r="A3365" s="186"/>
      <c r="B3365" s="186"/>
      <c r="C3365" s="503"/>
      <c r="D3365" s="503"/>
      <c r="E3365" s="503"/>
      <c r="F3365" s="503"/>
      <c r="G3365" s="503"/>
      <c r="H3365" s="503"/>
      <c r="I3365" s="503"/>
      <c r="J3365" s="186" t="s">
        <v>37</v>
      </c>
      <c r="K3365" s="193">
        <f>+K3362*K3363/K3364</f>
        <v>171.02252803738318</v>
      </c>
      <c r="L3365" s="186" t="s">
        <v>108</v>
      </c>
      <c r="M3365" s="50"/>
      <c r="N3365" s="50"/>
      <c r="O3365" s="5"/>
      <c r="P3365" s="384"/>
      <c r="Q3365" s="396"/>
      <c r="R3365" s="396"/>
      <c r="S3365" s="396"/>
      <c r="T3365" s="396"/>
      <c r="X3365" s="396"/>
      <c r="Y3365" s="396"/>
      <c r="Z3365" s="396"/>
    </row>
    <row r="3366" spans="1:26" s="396" customFormat="1" ht="30" customHeight="1" thickBot="1" x14ac:dyDescent="0.4">
      <c r="A3366" s="186"/>
      <c r="B3366" s="186"/>
      <c r="C3366" s="503"/>
      <c r="D3366" s="503"/>
      <c r="E3366" s="503"/>
      <c r="F3366" s="503"/>
      <c r="G3366" s="1194" t="s">
        <v>257</v>
      </c>
      <c r="H3366" s="1195"/>
      <c r="I3366" s="1196"/>
      <c r="J3366" s="560">
        <f>VLOOKUP(B3358,'Mil Cost Premiums for PUCs'!$A$4:$R$285,18,FALSE)</f>
        <v>1.0209999999999999</v>
      </c>
      <c r="K3366" s="193">
        <f>+K3365*J3366</f>
        <v>174.6140011261682</v>
      </c>
      <c r="L3366" s="186" t="s">
        <v>108</v>
      </c>
      <c r="M3366" s="50"/>
      <c r="N3366" s="50"/>
      <c r="O3366" s="5"/>
      <c r="P3366" s="384"/>
      <c r="U3366" s="10"/>
      <c r="V3366" s="9"/>
      <c r="W3366" s="9"/>
    </row>
    <row r="3367" spans="1:26" s="396" customFormat="1" ht="30" customHeight="1" thickBot="1" x14ac:dyDescent="0.4">
      <c r="A3367" s="1199"/>
      <c r="B3367" s="1200"/>
      <c r="C3367" s="1200"/>
      <c r="D3367" s="1200"/>
      <c r="E3367" s="1200"/>
      <c r="F3367" s="1200"/>
      <c r="G3367" s="1200"/>
      <c r="H3367" s="1200"/>
      <c r="I3367" s="1200"/>
      <c r="J3367" s="1200"/>
      <c r="K3367" s="1200"/>
      <c r="L3367" s="1201"/>
      <c r="M3367" s="11"/>
      <c r="N3367" s="50"/>
      <c r="O3367" s="5"/>
      <c r="P3367" s="384"/>
      <c r="U3367" s="10"/>
      <c r="V3367" s="9"/>
      <c r="W3367" s="9"/>
      <c r="X3367" s="9"/>
      <c r="Y3367" s="9"/>
      <c r="Z3367" s="9"/>
    </row>
    <row r="3368" spans="1:26" s="396" customFormat="1" ht="30" customHeight="1" x14ac:dyDescent="0.35">
      <c r="A3368" s="388" t="s">
        <v>1</v>
      </c>
      <c r="B3368" s="389">
        <v>7412</v>
      </c>
      <c r="C3368" s="1205" t="s">
        <v>1437</v>
      </c>
      <c r="D3368" s="1206"/>
      <c r="E3368" s="392" t="s">
        <v>3</v>
      </c>
      <c r="F3368" s="393" t="s">
        <v>108</v>
      </c>
      <c r="G3368" s="390" t="s">
        <v>38</v>
      </c>
      <c r="H3368" s="132">
        <v>6924</v>
      </c>
      <c r="I3368" s="392" t="s">
        <v>5</v>
      </c>
      <c r="J3368" s="1207" t="s">
        <v>2874</v>
      </c>
      <c r="K3368" s="1207"/>
      <c r="L3368" s="1208"/>
      <c r="M3368" s="50"/>
      <c r="N3368" s="50"/>
      <c r="O3368" s="5"/>
      <c r="P3368" s="14"/>
      <c r="Q3368" s="9"/>
      <c r="R3368" s="9"/>
      <c r="S3368" s="9"/>
      <c r="T3368" s="10"/>
      <c r="U3368" s="9"/>
      <c r="V3368" s="9"/>
      <c r="W3368" s="9"/>
      <c r="X3368" s="9"/>
      <c r="Y3368" s="9"/>
      <c r="Z3368" s="9"/>
    </row>
    <row r="3369" spans="1:26" s="396" customFormat="1" ht="30" customHeight="1" x14ac:dyDescent="0.35">
      <c r="A3369" s="494" t="s">
        <v>187</v>
      </c>
      <c r="B3369" s="1280" t="s">
        <v>211</v>
      </c>
      <c r="C3369" s="1281"/>
      <c r="D3369" s="1282"/>
      <c r="E3369" s="566" t="s">
        <v>52</v>
      </c>
      <c r="F3369" s="566" t="s">
        <v>53</v>
      </c>
      <c r="G3369" s="1219" t="s">
        <v>54</v>
      </c>
      <c r="H3369" s="1220"/>
      <c r="I3369" s="185" t="s">
        <v>188</v>
      </c>
      <c r="J3369" s="185"/>
      <c r="K3369" s="399" t="s">
        <v>180</v>
      </c>
      <c r="L3369" s="400"/>
      <c r="M3369" s="50"/>
      <c r="N3369" s="50"/>
      <c r="O3369" s="5"/>
      <c r="P3369" s="9"/>
      <c r="Q3369" s="34"/>
      <c r="R3369" s="5"/>
      <c r="S3369" s="35"/>
      <c r="T3369" s="9"/>
      <c r="U3369" s="9"/>
      <c r="V3369" s="9"/>
      <c r="W3369" s="9"/>
      <c r="X3369" s="9"/>
      <c r="Y3369" s="9"/>
      <c r="Z3369" s="9"/>
    </row>
    <row r="3370" spans="1:26" ht="30" customHeight="1" x14ac:dyDescent="0.35">
      <c r="A3370" s="790" t="s">
        <v>1426</v>
      </c>
      <c r="B3370" s="1202" t="s">
        <v>1427</v>
      </c>
      <c r="C3370" s="1203"/>
      <c r="D3370" s="1204"/>
      <c r="E3370" s="194">
        <v>73</v>
      </c>
      <c r="F3370" s="422" t="s">
        <v>108</v>
      </c>
      <c r="G3370" s="1058"/>
      <c r="H3370" s="1059"/>
      <c r="I3370" s="186">
        <v>1.0900000000000001</v>
      </c>
      <c r="J3370" s="186"/>
      <c r="K3370" s="194">
        <f>+E3370*I3370</f>
        <v>79.570000000000007</v>
      </c>
      <c r="L3370" s="186" t="s">
        <v>108</v>
      </c>
      <c r="M3370" s="50"/>
      <c r="N3370" s="64"/>
      <c r="O3370" s="5"/>
      <c r="P3370" s="9"/>
      <c r="Q3370" s="34"/>
      <c r="R3370" s="5"/>
      <c r="S3370" s="35"/>
    </row>
    <row r="3371" spans="1:26" ht="30" customHeight="1" x14ac:dyDescent="0.35">
      <c r="A3371" s="186" t="s">
        <v>249</v>
      </c>
      <c r="B3371" s="1211" t="s">
        <v>1429</v>
      </c>
      <c r="C3371" s="1211"/>
      <c r="D3371" s="1211"/>
      <c r="E3371" s="194">
        <v>4.5599999999999996</v>
      </c>
      <c r="F3371" s="186" t="s">
        <v>108</v>
      </c>
      <c r="G3371" s="186"/>
      <c r="H3371" s="186"/>
      <c r="I3371" s="186">
        <v>1.0900000000000001</v>
      </c>
      <c r="J3371" s="186"/>
      <c r="K3371" s="194">
        <f>+E3371*I3371</f>
        <v>4.9703999999999997</v>
      </c>
      <c r="L3371" s="186" t="s">
        <v>108</v>
      </c>
      <c r="M3371" s="50"/>
      <c r="N3371" s="64"/>
    </row>
    <row r="3372" spans="1:26" ht="30" customHeight="1" x14ac:dyDescent="0.35">
      <c r="A3372" s="186"/>
      <c r="B3372" s="186"/>
      <c r="C3372" s="503"/>
      <c r="D3372" s="503"/>
      <c r="E3372" s="503"/>
      <c r="F3372" s="503"/>
      <c r="G3372" s="503"/>
      <c r="H3372" s="503"/>
      <c r="I3372" s="503"/>
      <c r="J3372" s="186" t="s">
        <v>223</v>
      </c>
      <c r="K3372" s="193">
        <f>SUM(K3370:K3371)</f>
        <v>84.540400000000005</v>
      </c>
      <c r="L3372" s="186" t="s">
        <v>108</v>
      </c>
      <c r="M3372" s="50"/>
      <c r="N3372" s="50"/>
      <c r="O3372" s="5"/>
      <c r="P3372" s="9"/>
      <c r="Q3372" s="34"/>
      <c r="R3372" s="5"/>
      <c r="S3372" s="35"/>
    </row>
    <row r="3373" spans="1:26" ht="30" customHeight="1" x14ac:dyDescent="0.35">
      <c r="A3373" s="186"/>
      <c r="B3373" s="567"/>
      <c r="C3373" s="567"/>
      <c r="D3373" s="567"/>
      <c r="E3373" s="194"/>
      <c r="F3373" s="1215" t="s">
        <v>195</v>
      </c>
      <c r="G3373" s="1273" t="s">
        <v>196</v>
      </c>
      <c r="H3373" s="1273"/>
      <c r="I3373" s="1273"/>
      <c r="J3373" s="1273"/>
      <c r="K3373" s="196">
        <v>1.05</v>
      </c>
      <c r="L3373" s="186"/>
      <c r="M3373" s="50"/>
      <c r="N3373" s="50"/>
      <c r="O3373" s="5"/>
      <c r="P3373" s="9"/>
      <c r="Q3373" s="34"/>
      <c r="R3373" s="5"/>
      <c r="S3373" s="35"/>
    </row>
    <row r="3374" spans="1:26" ht="30" customHeight="1" x14ac:dyDescent="0.35">
      <c r="A3374" s="186"/>
      <c r="B3374" s="567"/>
      <c r="C3374" s="567"/>
      <c r="D3374" s="567"/>
      <c r="E3374" s="194"/>
      <c r="F3374" s="1216"/>
      <c r="G3374" s="1268" t="s">
        <v>2875</v>
      </c>
      <c r="H3374" s="1268"/>
      <c r="I3374" s="1268"/>
      <c r="J3374" s="1268"/>
      <c r="K3374" s="196">
        <v>1.07</v>
      </c>
      <c r="L3374" s="186"/>
      <c r="M3374" s="50"/>
      <c r="N3374" s="50"/>
      <c r="O3374" s="5"/>
      <c r="P3374" s="9"/>
      <c r="Q3374" s="34"/>
      <c r="R3374" s="5"/>
      <c r="S3374" s="35"/>
    </row>
    <row r="3375" spans="1:26" ht="30" customHeight="1" x14ac:dyDescent="0.35">
      <c r="A3375" s="186"/>
      <c r="B3375" s="186"/>
      <c r="C3375" s="503"/>
      <c r="D3375" s="503"/>
      <c r="E3375" s="503"/>
      <c r="F3375" s="503"/>
      <c r="G3375" s="503"/>
      <c r="H3375" s="503"/>
      <c r="I3375" s="503"/>
      <c r="J3375" s="186" t="s">
        <v>37</v>
      </c>
      <c r="K3375" s="193">
        <f>+K3372*K3373/K3374</f>
        <v>82.960205607476652</v>
      </c>
      <c r="L3375" s="186" t="s">
        <v>108</v>
      </c>
      <c r="M3375" s="50"/>
      <c r="N3375" s="96"/>
      <c r="O3375" s="5"/>
      <c r="P3375" s="9"/>
      <c r="Q3375" s="34"/>
      <c r="R3375" s="5"/>
      <c r="S3375" s="35"/>
    </row>
    <row r="3376" spans="1:26" ht="30" customHeight="1" thickBot="1" x14ac:dyDescent="0.4">
      <c r="A3376" s="186"/>
      <c r="B3376" s="186"/>
      <c r="C3376" s="503"/>
      <c r="D3376" s="503"/>
      <c r="E3376" s="503"/>
      <c r="F3376" s="503"/>
      <c r="G3376" s="1194" t="s">
        <v>257</v>
      </c>
      <c r="H3376" s="1195"/>
      <c r="I3376" s="1196"/>
      <c r="J3376" s="560">
        <f>VLOOKUP(B3368,'Mil Cost Premiums for PUCs'!$A$4:$R$285,18,FALSE)</f>
        <v>1.0240629999999997</v>
      </c>
      <c r="K3376" s="193">
        <f>+K3375*J3376</f>
        <v>84.956477035009343</v>
      </c>
      <c r="L3376" s="186" t="s">
        <v>108</v>
      </c>
      <c r="M3376" s="50"/>
      <c r="N3376" s="50"/>
      <c r="O3376" s="572"/>
      <c r="P3376" s="9"/>
      <c r="Q3376" s="34"/>
      <c r="R3376" s="5"/>
      <c r="S3376" s="35"/>
    </row>
    <row r="3377" spans="1:21" ht="30" customHeight="1" thickBot="1" x14ac:dyDescent="0.4">
      <c r="A3377" s="1199"/>
      <c r="B3377" s="1200"/>
      <c r="C3377" s="1200"/>
      <c r="D3377" s="1200"/>
      <c r="E3377" s="1200"/>
      <c r="F3377" s="1200"/>
      <c r="G3377" s="1200"/>
      <c r="H3377" s="1200"/>
      <c r="I3377" s="1200"/>
      <c r="J3377" s="1200"/>
      <c r="K3377" s="1200"/>
      <c r="L3377" s="1201"/>
      <c r="O3377" s="724"/>
      <c r="P3377" s="9"/>
      <c r="Q3377" s="34"/>
      <c r="R3377" s="5"/>
      <c r="S3377" s="35"/>
    </row>
    <row r="3378" spans="1:21" ht="30" customHeight="1" x14ac:dyDescent="0.35">
      <c r="A3378" s="388" t="s">
        <v>1</v>
      </c>
      <c r="B3378" s="389">
        <v>7413</v>
      </c>
      <c r="C3378" s="1205" t="s">
        <v>1438</v>
      </c>
      <c r="D3378" s="1206"/>
      <c r="E3378" s="392" t="s">
        <v>3</v>
      </c>
      <c r="F3378" s="393" t="s">
        <v>108</v>
      </c>
      <c r="G3378" s="390" t="s">
        <v>38</v>
      </c>
      <c r="H3378" s="132">
        <v>5465.5405013927502</v>
      </c>
      <c r="I3378" s="392" t="s">
        <v>5</v>
      </c>
      <c r="J3378" s="1207" t="s">
        <v>2481</v>
      </c>
      <c r="K3378" s="1207"/>
      <c r="L3378" s="1208"/>
      <c r="M3378" s="50"/>
      <c r="N3378" s="50"/>
      <c r="O3378" s="572"/>
      <c r="P3378" s="9"/>
      <c r="Q3378" s="34"/>
      <c r="R3378" s="5"/>
      <c r="S3378" s="35"/>
    </row>
    <row r="3379" spans="1:21" ht="30" customHeight="1" x14ac:dyDescent="0.35">
      <c r="A3379" s="494" t="s">
        <v>187</v>
      </c>
      <c r="B3379" s="1280" t="s">
        <v>211</v>
      </c>
      <c r="C3379" s="1281"/>
      <c r="D3379" s="1282"/>
      <c r="E3379" s="566" t="s">
        <v>52</v>
      </c>
      <c r="F3379" s="566" t="s">
        <v>53</v>
      </c>
      <c r="G3379" s="1219" t="s">
        <v>54</v>
      </c>
      <c r="H3379" s="1220"/>
      <c r="I3379" s="185" t="s">
        <v>1051</v>
      </c>
      <c r="J3379" s="185" t="s">
        <v>188</v>
      </c>
      <c r="K3379" s="399" t="s">
        <v>180</v>
      </c>
      <c r="L3379" s="400"/>
      <c r="M3379" s="50"/>
      <c r="N3379" s="50"/>
      <c r="P3379" s="9"/>
      <c r="Q3379" s="34"/>
      <c r="R3379" s="5"/>
      <c r="S3379" s="35"/>
    </row>
    <row r="3380" spans="1:21" ht="30" customHeight="1" x14ac:dyDescent="0.35">
      <c r="A3380" s="790" t="s">
        <v>1439</v>
      </c>
      <c r="B3380" s="1202" t="s">
        <v>1440</v>
      </c>
      <c r="C3380" s="1203"/>
      <c r="D3380" s="1204"/>
      <c r="E3380" s="194">
        <v>108</v>
      </c>
      <c r="F3380" s="422" t="s">
        <v>108</v>
      </c>
      <c r="G3380" s="1058"/>
      <c r="H3380" s="1059"/>
      <c r="I3380" s="278"/>
      <c r="J3380" s="204">
        <v>1.34</v>
      </c>
      <c r="K3380" s="194">
        <f>+E3380*J3380</f>
        <v>144.72</v>
      </c>
      <c r="L3380" s="186" t="s">
        <v>108</v>
      </c>
      <c r="M3380" s="50"/>
      <c r="N3380" s="50"/>
      <c r="P3380" s="9"/>
      <c r="Q3380" s="34"/>
      <c r="R3380" s="5"/>
      <c r="S3380" s="35"/>
    </row>
    <row r="3381" spans="1:21" ht="30" customHeight="1" x14ac:dyDescent="0.35">
      <c r="A3381" s="985" t="s">
        <v>1191</v>
      </c>
      <c r="B3381" s="1211" t="s">
        <v>1409</v>
      </c>
      <c r="C3381" s="1211"/>
      <c r="D3381" s="1211"/>
      <c r="E3381" s="194">
        <v>4.22</v>
      </c>
      <c r="F3381" s="186" t="s">
        <v>108</v>
      </c>
      <c r="G3381" s="186"/>
      <c r="H3381" s="186"/>
      <c r="I3381" s="1044"/>
      <c r="J3381" s="204">
        <v>1.34</v>
      </c>
      <c r="K3381" s="194">
        <f>+E3381*J3381</f>
        <v>5.6547999999999998</v>
      </c>
      <c r="L3381" s="186" t="s">
        <v>108</v>
      </c>
      <c r="M3381" s="50"/>
      <c r="N3381" s="50"/>
      <c r="P3381" s="9"/>
      <c r="Q3381" s="34"/>
      <c r="R3381" s="5"/>
      <c r="S3381" s="35"/>
    </row>
    <row r="3382" spans="1:21" ht="30" customHeight="1" x14ac:dyDescent="0.35">
      <c r="A3382" s="186"/>
      <c r="B3382" s="186"/>
      <c r="C3382" s="503"/>
      <c r="D3382" s="503"/>
      <c r="E3382" s="503"/>
      <c r="F3382" s="503"/>
      <c r="G3382" s="918"/>
      <c r="H3382" s="503"/>
      <c r="I3382" s="503"/>
      <c r="J3382" s="186" t="s">
        <v>223</v>
      </c>
      <c r="K3382" s="193">
        <f>SUM(K3380:K3381)</f>
        <v>150.37479999999999</v>
      </c>
      <c r="L3382" s="186" t="s">
        <v>108</v>
      </c>
      <c r="M3382" s="50"/>
      <c r="N3382" s="724"/>
      <c r="O3382" s="5"/>
      <c r="P3382" s="9"/>
      <c r="Q3382" s="34"/>
      <c r="R3382" s="5"/>
      <c r="S3382" s="35"/>
    </row>
    <row r="3383" spans="1:21" ht="30" customHeight="1" x14ac:dyDescent="0.35">
      <c r="A3383" s="186"/>
      <c r="B3383" s="567"/>
      <c r="C3383" s="567"/>
      <c r="D3383" s="567"/>
      <c r="E3383" s="194"/>
      <c r="F3383" s="1215" t="s">
        <v>195</v>
      </c>
      <c r="G3383" s="1273" t="s">
        <v>196</v>
      </c>
      <c r="H3383" s="1273"/>
      <c r="I3383" s="1273"/>
      <c r="J3383" s="1273"/>
      <c r="K3383" s="196">
        <v>1.06</v>
      </c>
      <c r="L3383" s="186"/>
      <c r="M3383" s="50"/>
      <c r="N3383" s="50"/>
      <c r="O3383" s="5"/>
      <c r="P3383" s="9"/>
      <c r="Q3383" s="34"/>
      <c r="R3383" s="5"/>
      <c r="S3383" s="35"/>
    </row>
    <row r="3384" spans="1:21" ht="30" customHeight="1" x14ac:dyDescent="0.35">
      <c r="A3384" s="186"/>
      <c r="B3384" s="567"/>
      <c r="C3384" s="567"/>
      <c r="D3384" s="567"/>
      <c r="E3384" s="194"/>
      <c r="F3384" s="1216"/>
      <c r="G3384" s="1268" t="s">
        <v>2477</v>
      </c>
      <c r="H3384" s="1268"/>
      <c r="I3384" s="1268"/>
      <c r="J3384" s="1268"/>
      <c r="K3384" s="196">
        <v>1.05</v>
      </c>
      <c r="L3384" s="186"/>
      <c r="M3384" s="50"/>
      <c r="N3384" s="50"/>
      <c r="O3384" s="5"/>
      <c r="P3384" s="9"/>
      <c r="Q3384" s="34"/>
      <c r="R3384" s="5"/>
      <c r="S3384" s="35"/>
    </row>
    <row r="3385" spans="1:21" ht="30" customHeight="1" x14ac:dyDescent="0.35">
      <c r="A3385" s="186"/>
      <c r="B3385" s="186"/>
      <c r="C3385" s="503"/>
      <c r="D3385" s="503"/>
      <c r="E3385" s="503"/>
      <c r="F3385" s="503"/>
      <c r="G3385" s="918"/>
      <c r="H3385" s="503"/>
      <c r="I3385" s="503"/>
      <c r="J3385" s="186" t="s">
        <v>37</v>
      </c>
      <c r="K3385" s="193">
        <f>+K3382*K3383/K3384</f>
        <v>151.80694095238096</v>
      </c>
      <c r="L3385" s="186" t="s">
        <v>108</v>
      </c>
      <c r="M3385" s="50"/>
      <c r="N3385" s="50"/>
      <c r="P3385" s="9"/>
      <c r="Q3385" s="34"/>
      <c r="R3385" s="5"/>
      <c r="S3385" s="35"/>
    </row>
    <row r="3386" spans="1:21" ht="30" customHeight="1" x14ac:dyDescent="0.35">
      <c r="A3386" s="186"/>
      <c r="B3386" s="186"/>
      <c r="C3386" s="503"/>
      <c r="D3386" s="503"/>
      <c r="E3386" s="503"/>
      <c r="F3386" s="503"/>
      <c r="G3386" s="1198" t="s">
        <v>257</v>
      </c>
      <c r="H3386" s="1198"/>
      <c r="I3386" s="1198"/>
      <c r="J3386" s="560">
        <f>VLOOKUP(B3378,'Mil Cost Premiums for PUCs'!$A$4:$R$285,18,FALSE)</f>
        <v>1.3319480854780448</v>
      </c>
      <c r="K3386" s="193">
        <f>+K3385*J3386</f>
        <v>202.19896436380242</v>
      </c>
      <c r="L3386" s="186" t="s">
        <v>108</v>
      </c>
      <c r="M3386" s="50"/>
    </row>
    <row r="3387" spans="1:21" ht="30" customHeight="1" thickBot="1" x14ac:dyDescent="0.4">
      <c r="A3387" s="186"/>
      <c r="B3387" s="186"/>
      <c r="C3387" s="503"/>
      <c r="D3387" s="503"/>
      <c r="E3387" s="503"/>
      <c r="F3387" s="503"/>
      <c r="G3387" s="1309" t="s">
        <v>3000</v>
      </c>
      <c r="H3387" s="1310"/>
      <c r="I3387" s="1311"/>
      <c r="J3387" s="560">
        <v>1.0438745311870361</v>
      </c>
      <c r="K3387" s="193">
        <f>+K3386*J3387</f>
        <v>211.07034913176847</v>
      </c>
      <c r="L3387" s="186" t="s">
        <v>108</v>
      </c>
      <c r="M3387" s="50"/>
      <c r="N3387" s="50"/>
      <c r="O3387" s="5"/>
      <c r="P3387" s="9"/>
      <c r="Q3387" s="34"/>
      <c r="R3387" s="5"/>
      <c r="S3387" s="35"/>
    </row>
    <row r="3388" spans="1:21" ht="30" customHeight="1" thickBot="1" x14ac:dyDescent="0.4">
      <c r="A3388" s="1199"/>
      <c r="B3388" s="1200"/>
      <c r="C3388" s="1200"/>
      <c r="D3388" s="1200"/>
      <c r="E3388" s="1200"/>
      <c r="F3388" s="1200"/>
      <c r="G3388" s="1200"/>
      <c r="H3388" s="1200"/>
      <c r="I3388" s="1200"/>
      <c r="J3388" s="1200"/>
      <c r="K3388" s="1200"/>
      <c r="L3388" s="1201"/>
      <c r="M3388" s="50"/>
      <c r="N3388" s="50"/>
      <c r="O3388" s="64"/>
      <c r="P3388" s="64"/>
      <c r="Q3388" s="34"/>
      <c r="R3388" s="5"/>
      <c r="S3388" s="35"/>
    </row>
    <row r="3389" spans="1:21" ht="30" customHeight="1" x14ac:dyDescent="0.35">
      <c r="A3389" s="388" t="s">
        <v>1</v>
      </c>
      <c r="B3389" s="389">
        <v>7414</v>
      </c>
      <c r="C3389" s="1205" t="s">
        <v>1441</v>
      </c>
      <c r="D3389" s="1206"/>
      <c r="E3389" s="392" t="s">
        <v>3</v>
      </c>
      <c r="F3389" s="393" t="s">
        <v>108</v>
      </c>
      <c r="G3389" s="390" t="s">
        <v>38</v>
      </c>
      <c r="H3389" s="132">
        <v>3688</v>
      </c>
      <c r="I3389" s="392" t="s">
        <v>5</v>
      </c>
      <c r="J3389" s="1207" t="s">
        <v>2874</v>
      </c>
      <c r="K3389" s="1207"/>
      <c r="L3389" s="1208"/>
      <c r="M3389" s="50"/>
      <c r="N3389" s="50"/>
      <c r="O3389" s="5"/>
      <c r="P3389" s="9"/>
      <c r="Q3389" s="34"/>
      <c r="R3389" s="5"/>
      <c r="S3389" s="35"/>
    </row>
    <row r="3390" spans="1:21" ht="30" customHeight="1" x14ac:dyDescent="0.35">
      <c r="A3390" s="494" t="s">
        <v>187</v>
      </c>
      <c r="B3390" s="1280" t="s">
        <v>211</v>
      </c>
      <c r="C3390" s="1281"/>
      <c r="D3390" s="1282"/>
      <c r="E3390" s="566" t="s">
        <v>52</v>
      </c>
      <c r="F3390" s="566" t="s">
        <v>53</v>
      </c>
      <c r="G3390" s="1219" t="s">
        <v>54</v>
      </c>
      <c r="H3390" s="1220"/>
      <c r="I3390" s="185" t="s">
        <v>188</v>
      </c>
      <c r="J3390" s="185"/>
      <c r="K3390" s="399" t="s">
        <v>180</v>
      </c>
      <c r="L3390" s="400"/>
      <c r="M3390" s="50"/>
      <c r="N3390" s="50"/>
      <c r="O3390" s="5"/>
      <c r="P3390" s="9"/>
      <c r="Q3390" s="34"/>
      <c r="R3390" s="5"/>
      <c r="S3390" s="35"/>
    </row>
    <row r="3391" spans="1:21" ht="30" customHeight="1" x14ac:dyDescent="0.35">
      <c r="A3391" s="790" t="s">
        <v>1403</v>
      </c>
      <c r="B3391" s="1202" t="s">
        <v>1404</v>
      </c>
      <c r="C3391" s="1203"/>
      <c r="D3391" s="1204"/>
      <c r="E3391" s="194">
        <v>155</v>
      </c>
      <c r="F3391" s="422" t="s">
        <v>108</v>
      </c>
      <c r="G3391" s="1058"/>
      <c r="H3391" s="1059"/>
      <c r="I3391" s="186">
        <v>1.0900000000000001</v>
      </c>
      <c r="J3391" s="186"/>
      <c r="K3391" s="194">
        <f>+E3391*I3391</f>
        <v>168.95000000000002</v>
      </c>
      <c r="L3391" s="186" t="s">
        <v>108</v>
      </c>
      <c r="M3391" s="50"/>
      <c r="N3391" s="50"/>
      <c r="O3391" s="5"/>
      <c r="P3391" s="9"/>
      <c r="Q3391" s="34"/>
      <c r="R3391" s="5"/>
      <c r="S3391" s="35"/>
      <c r="U3391" s="396"/>
    </row>
    <row r="3392" spans="1:21" ht="30" customHeight="1" x14ac:dyDescent="0.35">
      <c r="A3392" s="186" t="s">
        <v>285</v>
      </c>
      <c r="B3392" s="1211" t="s">
        <v>1419</v>
      </c>
      <c r="C3392" s="1211"/>
      <c r="D3392" s="1211"/>
      <c r="E3392" s="194">
        <v>5.91</v>
      </c>
      <c r="F3392" s="186" t="s">
        <v>108</v>
      </c>
      <c r="G3392" s="186"/>
      <c r="H3392" s="186"/>
      <c r="I3392" s="186">
        <v>1.0900000000000001</v>
      </c>
      <c r="J3392" s="186"/>
      <c r="K3392" s="194">
        <f>+E3392*I3392</f>
        <v>6.4419000000000004</v>
      </c>
      <c r="L3392" s="186" t="s">
        <v>108</v>
      </c>
      <c r="M3392" s="50"/>
      <c r="N3392" s="50"/>
      <c r="O3392" s="5"/>
      <c r="P3392" s="9"/>
      <c r="Q3392" s="34"/>
      <c r="R3392" s="5"/>
      <c r="S3392" s="35"/>
      <c r="U3392" s="396"/>
    </row>
    <row r="3393" spans="1:23" ht="30" customHeight="1" x14ac:dyDescent="0.35">
      <c r="A3393" s="186"/>
      <c r="B3393" s="186"/>
      <c r="C3393" s="503"/>
      <c r="D3393" s="503"/>
      <c r="E3393" s="503"/>
      <c r="F3393" s="503"/>
      <c r="G3393" s="503"/>
      <c r="H3393" s="503"/>
      <c r="I3393" s="503"/>
      <c r="J3393" s="186" t="s">
        <v>223</v>
      </c>
      <c r="K3393" s="193">
        <f>SUM(K3391:K3392)</f>
        <v>175.39190000000002</v>
      </c>
      <c r="L3393" s="186" t="s">
        <v>108</v>
      </c>
      <c r="M3393" s="50"/>
      <c r="N3393" s="50"/>
      <c r="O3393" s="5"/>
      <c r="P3393" s="9"/>
      <c r="Q3393" s="34"/>
      <c r="R3393" s="5"/>
      <c r="S3393" s="35"/>
      <c r="U3393" s="396"/>
    </row>
    <row r="3394" spans="1:23" ht="30" customHeight="1" x14ac:dyDescent="0.35">
      <c r="A3394" s="186"/>
      <c r="B3394" s="567"/>
      <c r="C3394" s="567"/>
      <c r="D3394" s="567"/>
      <c r="E3394" s="194"/>
      <c r="F3394" s="1215" t="s">
        <v>195</v>
      </c>
      <c r="G3394" s="1273" t="s">
        <v>196</v>
      </c>
      <c r="H3394" s="1273"/>
      <c r="I3394" s="1273"/>
      <c r="J3394" s="1273"/>
      <c r="K3394" s="196">
        <v>1.05</v>
      </c>
      <c r="L3394" s="186"/>
      <c r="M3394" s="50"/>
      <c r="O3394" s="5"/>
      <c r="P3394" s="9"/>
      <c r="Q3394" s="34"/>
      <c r="R3394" s="5"/>
      <c r="S3394" s="35"/>
      <c r="V3394" s="396"/>
      <c r="W3394" s="396"/>
    </row>
    <row r="3395" spans="1:23" ht="30" customHeight="1" x14ac:dyDescent="0.35">
      <c r="A3395" s="186"/>
      <c r="B3395" s="567"/>
      <c r="C3395" s="567"/>
      <c r="D3395" s="567"/>
      <c r="E3395" s="194"/>
      <c r="F3395" s="1216"/>
      <c r="G3395" s="1268" t="s">
        <v>2875</v>
      </c>
      <c r="H3395" s="1268"/>
      <c r="I3395" s="1268"/>
      <c r="J3395" s="1268"/>
      <c r="K3395" s="196">
        <v>1.07</v>
      </c>
      <c r="L3395" s="186"/>
      <c r="M3395" s="50"/>
      <c r="N3395" s="50"/>
      <c r="O3395" s="5"/>
      <c r="P3395" s="384"/>
      <c r="Q3395" s="396"/>
      <c r="R3395" s="396"/>
      <c r="S3395" s="396"/>
      <c r="T3395" s="396"/>
      <c r="V3395" s="396"/>
      <c r="W3395" s="396"/>
    </row>
    <row r="3396" spans="1:23" ht="30" customHeight="1" x14ac:dyDescent="0.35">
      <c r="A3396" s="186"/>
      <c r="B3396" s="186"/>
      <c r="C3396" s="503"/>
      <c r="D3396" s="503"/>
      <c r="E3396" s="503"/>
      <c r="F3396" s="503"/>
      <c r="G3396" s="503"/>
      <c r="H3396" s="503"/>
      <c r="I3396" s="503"/>
      <c r="J3396" s="186" t="s">
        <v>37</v>
      </c>
      <c r="K3396" s="193">
        <f>+K3393*K3394/K3395</f>
        <v>172.11354672897198</v>
      </c>
      <c r="L3396" s="186" t="s">
        <v>108</v>
      </c>
      <c r="M3396" s="50"/>
      <c r="N3396" s="50"/>
      <c r="O3396" s="5"/>
      <c r="V3396" s="396"/>
      <c r="W3396" s="396"/>
    </row>
    <row r="3397" spans="1:23" ht="30" customHeight="1" thickBot="1" x14ac:dyDescent="0.4">
      <c r="A3397" s="186"/>
      <c r="B3397" s="186"/>
      <c r="C3397" s="503"/>
      <c r="D3397" s="503"/>
      <c r="E3397" s="503"/>
      <c r="F3397" s="503"/>
      <c r="G3397" s="1194" t="s">
        <v>257</v>
      </c>
      <c r="H3397" s="1195"/>
      <c r="I3397" s="1196"/>
      <c r="J3397" s="560">
        <f>VLOOKUP(B3389,'Mil Cost Premiums for PUCs'!$A$4:$R$285,18,FALSE)</f>
        <v>1.2470022895162014</v>
      </c>
      <c r="K3397" s="193">
        <f>+K3396*J3397</f>
        <v>214.62598682778179</v>
      </c>
      <c r="L3397" s="186" t="s">
        <v>108</v>
      </c>
      <c r="M3397" s="50"/>
      <c r="N3397" s="50"/>
      <c r="O3397" s="5"/>
      <c r="U3397" s="10"/>
    </row>
    <row r="3398" spans="1:23" ht="30" customHeight="1" thickBot="1" x14ac:dyDescent="0.4">
      <c r="A3398" s="1199"/>
      <c r="B3398" s="1200"/>
      <c r="C3398" s="1200"/>
      <c r="D3398" s="1200"/>
      <c r="E3398" s="1200"/>
      <c r="F3398" s="1200"/>
      <c r="G3398" s="1200"/>
      <c r="H3398" s="1200"/>
      <c r="I3398" s="1200"/>
      <c r="J3398" s="1200"/>
      <c r="K3398" s="1200"/>
      <c r="L3398" s="1201"/>
      <c r="N3398" s="50"/>
      <c r="O3398" s="5"/>
    </row>
    <row r="3399" spans="1:23" ht="30" customHeight="1" x14ac:dyDescent="0.35">
      <c r="A3399" s="388" t="s">
        <v>1</v>
      </c>
      <c r="B3399" s="389">
        <v>7415</v>
      </c>
      <c r="C3399" s="1205" t="s">
        <v>1442</v>
      </c>
      <c r="D3399" s="1206"/>
      <c r="E3399" s="392" t="s">
        <v>3</v>
      </c>
      <c r="F3399" s="393" t="s">
        <v>108</v>
      </c>
      <c r="G3399" s="390" t="s">
        <v>38</v>
      </c>
      <c r="H3399" s="132">
        <v>17100.0477813504</v>
      </c>
      <c r="I3399" s="392" t="s">
        <v>5</v>
      </c>
      <c r="J3399" s="1207" t="s">
        <v>2481</v>
      </c>
      <c r="K3399" s="1207"/>
      <c r="L3399" s="1208"/>
      <c r="M3399" s="50"/>
      <c r="N3399" s="50"/>
      <c r="O3399" s="5"/>
      <c r="T3399" s="10"/>
    </row>
    <row r="3400" spans="1:23" ht="30" customHeight="1" x14ac:dyDescent="0.35">
      <c r="A3400" s="494" t="s">
        <v>187</v>
      </c>
      <c r="B3400" s="1280" t="s">
        <v>211</v>
      </c>
      <c r="C3400" s="1281"/>
      <c r="D3400" s="1282"/>
      <c r="E3400" s="566" t="s">
        <v>52</v>
      </c>
      <c r="F3400" s="566" t="s">
        <v>53</v>
      </c>
      <c r="G3400" s="1219" t="s">
        <v>54</v>
      </c>
      <c r="H3400" s="1220"/>
      <c r="I3400" s="185" t="s">
        <v>1051</v>
      </c>
      <c r="J3400" s="185" t="s">
        <v>188</v>
      </c>
      <c r="K3400" s="399" t="s">
        <v>180</v>
      </c>
      <c r="L3400" s="400"/>
      <c r="M3400" s="50"/>
      <c r="N3400" s="50"/>
      <c r="O3400" s="5"/>
      <c r="T3400" s="10"/>
    </row>
    <row r="3401" spans="1:23" ht="30" customHeight="1" x14ac:dyDescent="0.35">
      <c r="A3401" s="790" t="s">
        <v>1443</v>
      </c>
      <c r="B3401" s="1202" t="s">
        <v>2522</v>
      </c>
      <c r="C3401" s="1203"/>
      <c r="D3401" s="1204"/>
      <c r="E3401" s="194">
        <v>99.5</v>
      </c>
      <c r="F3401" s="422" t="s">
        <v>108</v>
      </c>
      <c r="G3401" s="1058"/>
      <c r="H3401" s="1059"/>
      <c r="I3401" s="278"/>
      <c r="J3401" s="186">
        <v>1.21</v>
      </c>
      <c r="K3401" s="194">
        <f>+E3401*J3401</f>
        <v>120.395</v>
      </c>
      <c r="L3401" s="186" t="s">
        <v>108</v>
      </c>
      <c r="M3401" s="50"/>
      <c r="N3401" s="50"/>
      <c r="O3401" s="5"/>
      <c r="P3401" s="9"/>
      <c r="Q3401" s="34"/>
      <c r="R3401" s="5"/>
      <c r="S3401" s="35"/>
    </row>
    <row r="3402" spans="1:23" ht="30" customHeight="1" x14ac:dyDescent="0.35">
      <c r="A3402" s="186" t="s">
        <v>1444</v>
      </c>
      <c r="B3402" s="1211" t="s">
        <v>1458</v>
      </c>
      <c r="C3402" s="1211"/>
      <c r="D3402" s="1211"/>
      <c r="E3402" s="194">
        <v>4.38</v>
      </c>
      <c r="F3402" s="186" t="s">
        <v>108</v>
      </c>
      <c r="G3402" s="186"/>
      <c r="H3402" s="186"/>
      <c r="I3402" s="1044"/>
      <c r="J3402" s="186">
        <v>1.21</v>
      </c>
      <c r="K3402" s="194">
        <f>+E3402*J3402</f>
        <v>5.2997999999999994</v>
      </c>
      <c r="L3402" s="186" t="s">
        <v>108</v>
      </c>
      <c r="M3402" s="50"/>
      <c r="O3402" s="5"/>
      <c r="P3402" s="9"/>
      <c r="Q3402" s="34"/>
      <c r="R3402" s="5"/>
      <c r="S3402" s="35"/>
    </row>
    <row r="3403" spans="1:23" ht="30" customHeight="1" x14ac:dyDescent="0.35">
      <c r="A3403" s="186"/>
      <c r="B3403" s="186"/>
      <c r="C3403" s="503"/>
      <c r="D3403" s="503"/>
      <c r="E3403" s="503"/>
      <c r="F3403" s="503"/>
      <c r="G3403" s="503"/>
      <c r="H3403" s="503"/>
      <c r="I3403" s="503"/>
      <c r="J3403" s="186" t="s">
        <v>223</v>
      </c>
      <c r="K3403" s="193">
        <f>SUM(K3401:K3402)</f>
        <v>125.6948</v>
      </c>
      <c r="L3403" s="186" t="s">
        <v>108</v>
      </c>
      <c r="M3403" s="50"/>
      <c r="N3403" s="50"/>
      <c r="O3403" s="572"/>
      <c r="P3403" s="9"/>
      <c r="Q3403" s="34"/>
      <c r="R3403" s="5"/>
      <c r="S3403" s="35"/>
    </row>
    <row r="3404" spans="1:23" ht="30" customHeight="1" x14ac:dyDescent="0.35">
      <c r="A3404" s="186"/>
      <c r="B3404" s="567"/>
      <c r="C3404" s="567"/>
      <c r="D3404" s="567"/>
      <c r="E3404" s="194"/>
      <c r="F3404" s="1215" t="s">
        <v>195</v>
      </c>
      <c r="G3404" s="1273" t="s">
        <v>196</v>
      </c>
      <c r="H3404" s="1273"/>
      <c r="I3404" s="1273"/>
      <c r="J3404" s="1273"/>
      <c r="K3404" s="196">
        <v>1.06</v>
      </c>
      <c r="L3404" s="186"/>
      <c r="M3404" s="50"/>
      <c r="N3404" s="50"/>
      <c r="O3404" s="572"/>
      <c r="P3404" s="9"/>
      <c r="Q3404" s="34"/>
      <c r="R3404" s="5"/>
      <c r="S3404" s="35"/>
    </row>
    <row r="3405" spans="1:23" ht="30" customHeight="1" x14ac:dyDescent="0.35">
      <c r="A3405" s="186"/>
      <c r="B3405" s="567"/>
      <c r="C3405" s="567"/>
      <c r="D3405" s="567"/>
      <c r="E3405" s="194"/>
      <c r="F3405" s="1216"/>
      <c r="G3405" s="1268" t="s">
        <v>2477</v>
      </c>
      <c r="H3405" s="1268"/>
      <c r="I3405" s="1268"/>
      <c r="J3405" s="1268"/>
      <c r="K3405" s="196">
        <v>1.05</v>
      </c>
      <c r="L3405" s="186"/>
      <c r="M3405" s="50"/>
      <c r="N3405" s="50"/>
      <c r="P3405" s="9"/>
      <c r="Q3405" s="34"/>
      <c r="R3405" s="5"/>
      <c r="S3405" s="35"/>
    </row>
    <row r="3406" spans="1:23" ht="30" customHeight="1" x14ac:dyDescent="0.35">
      <c r="A3406" s="186"/>
      <c r="B3406" s="186"/>
      <c r="C3406" s="503"/>
      <c r="D3406" s="503"/>
      <c r="E3406" s="503"/>
      <c r="F3406" s="503"/>
      <c r="G3406" s="503"/>
      <c r="H3406" s="503"/>
      <c r="I3406" s="503"/>
      <c r="J3406" s="186" t="s">
        <v>37</v>
      </c>
      <c r="K3406" s="193">
        <f>+K3403*K3404/K3405</f>
        <v>126.89189333333334</v>
      </c>
      <c r="L3406" s="186" t="s">
        <v>108</v>
      </c>
      <c r="M3406" s="50"/>
      <c r="N3406" s="96"/>
      <c r="P3406" s="9"/>
      <c r="Q3406" s="34"/>
      <c r="R3406" s="5"/>
      <c r="S3406" s="35"/>
    </row>
    <row r="3407" spans="1:23" ht="30" customHeight="1" x14ac:dyDescent="0.35">
      <c r="A3407" s="186"/>
      <c r="B3407" s="186"/>
      <c r="C3407" s="503"/>
      <c r="D3407" s="503"/>
      <c r="E3407" s="503"/>
      <c r="F3407" s="503"/>
      <c r="G3407" s="1198" t="s">
        <v>257</v>
      </c>
      <c r="H3407" s="1198"/>
      <c r="I3407" s="1198"/>
      <c r="J3407" s="560">
        <f>VLOOKUP(B3399,'Mil Cost Premiums for PUCs'!$A$4:$R$285,18,FALSE)</f>
        <v>1.2815350593147223</v>
      </c>
      <c r="K3407" s="193">
        <f>+K3406*J3407</f>
        <v>162.61641004949075</v>
      </c>
      <c r="L3407" s="186" t="s">
        <v>108</v>
      </c>
      <c r="M3407" s="50"/>
      <c r="N3407" s="50"/>
      <c r="P3407" s="9"/>
      <c r="Q3407" s="34"/>
      <c r="R3407" s="5"/>
      <c r="S3407" s="35"/>
    </row>
    <row r="3408" spans="1:23" ht="30" customHeight="1" thickBot="1" x14ac:dyDescent="0.4">
      <c r="A3408" s="186"/>
      <c r="B3408" s="186"/>
      <c r="C3408" s="503"/>
      <c r="D3408" s="503"/>
      <c r="E3408" s="503"/>
      <c r="F3408" s="503"/>
      <c r="G3408" s="1309" t="s">
        <v>3000</v>
      </c>
      <c r="H3408" s="1310"/>
      <c r="I3408" s="1311"/>
      <c r="J3408" s="560">
        <v>1.0438745311870361</v>
      </c>
      <c r="K3408" s="193">
        <f>+K3407*J3408</f>
        <v>169.75112880373098</v>
      </c>
      <c r="L3408" s="186" t="s">
        <v>108</v>
      </c>
      <c r="M3408" s="50"/>
      <c r="N3408" s="50"/>
      <c r="O3408" s="5"/>
      <c r="P3408" s="9"/>
      <c r="Q3408" s="34"/>
      <c r="R3408" s="5"/>
      <c r="S3408" s="35"/>
    </row>
    <row r="3409" spans="1:19" ht="30" customHeight="1" thickBot="1" x14ac:dyDescent="0.4">
      <c r="A3409" s="1199"/>
      <c r="B3409" s="1200"/>
      <c r="C3409" s="1200"/>
      <c r="D3409" s="1200"/>
      <c r="E3409" s="1200"/>
      <c r="F3409" s="1200"/>
      <c r="G3409" s="1200"/>
      <c r="H3409" s="1200"/>
      <c r="I3409" s="1200"/>
      <c r="J3409" s="1200"/>
      <c r="K3409" s="1200"/>
      <c r="L3409" s="1201"/>
      <c r="M3409" s="50"/>
      <c r="N3409" s="50"/>
      <c r="P3409" s="9"/>
      <c r="Q3409" s="34"/>
      <c r="R3409" s="5"/>
      <c r="S3409" s="35"/>
    </row>
    <row r="3410" spans="1:19" ht="30" customHeight="1" x14ac:dyDescent="0.35">
      <c r="A3410" s="388" t="s">
        <v>1</v>
      </c>
      <c r="B3410" s="389">
        <v>7416</v>
      </c>
      <c r="C3410" s="1205" t="s">
        <v>1446</v>
      </c>
      <c r="D3410" s="1206"/>
      <c r="E3410" s="392" t="s">
        <v>3</v>
      </c>
      <c r="F3410" s="393" t="s">
        <v>108</v>
      </c>
      <c r="G3410" s="390" t="s">
        <v>38</v>
      </c>
      <c r="H3410" s="132">
        <v>12242.537233201499</v>
      </c>
      <c r="I3410" s="392" t="s">
        <v>5</v>
      </c>
      <c r="J3410" s="1207" t="s">
        <v>2481</v>
      </c>
      <c r="K3410" s="1207"/>
      <c r="L3410" s="1208"/>
      <c r="M3410" s="50"/>
      <c r="N3410" s="50"/>
      <c r="O3410" s="5"/>
      <c r="P3410" s="9"/>
      <c r="Q3410" s="34"/>
      <c r="R3410" s="5"/>
      <c r="S3410" s="35"/>
    </row>
    <row r="3411" spans="1:19" ht="30" customHeight="1" x14ac:dyDescent="0.35">
      <c r="A3411" s="494" t="s">
        <v>187</v>
      </c>
      <c r="B3411" s="1280" t="s">
        <v>211</v>
      </c>
      <c r="C3411" s="1281"/>
      <c r="D3411" s="1282"/>
      <c r="E3411" s="566" t="s">
        <v>52</v>
      </c>
      <c r="F3411" s="566" t="s">
        <v>53</v>
      </c>
      <c r="G3411" s="1219" t="s">
        <v>54</v>
      </c>
      <c r="H3411" s="1220"/>
      <c r="I3411" s="185" t="s">
        <v>1051</v>
      </c>
      <c r="J3411" s="185" t="s">
        <v>188</v>
      </c>
      <c r="K3411" s="399" t="s">
        <v>180</v>
      </c>
      <c r="L3411" s="400"/>
      <c r="M3411" s="50"/>
      <c r="N3411" s="50"/>
      <c r="O3411" s="5"/>
      <c r="P3411" s="9"/>
      <c r="Q3411" s="34"/>
      <c r="R3411" s="5"/>
      <c r="S3411" s="35"/>
    </row>
    <row r="3412" spans="1:19" ht="30" customHeight="1" x14ac:dyDescent="0.35">
      <c r="A3412" s="790" t="s">
        <v>1447</v>
      </c>
      <c r="B3412" s="1202" t="s">
        <v>1448</v>
      </c>
      <c r="C3412" s="1203"/>
      <c r="D3412" s="1204"/>
      <c r="E3412" s="194">
        <v>179</v>
      </c>
      <c r="F3412" s="422" t="s">
        <v>108</v>
      </c>
      <c r="G3412" s="1058"/>
      <c r="H3412" s="1059"/>
      <c r="I3412" s="278"/>
      <c r="J3412" s="186">
        <v>1.1200000000000001</v>
      </c>
      <c r="K3412" s="194">
        <f>+E3412*J3412</f>
        <v>200.48000000000002</v>
      </c>
      <c r="L3412" s="186" t="s">
        <v>108</v>
      </c>
      <c r="M3412" s="50"/>
      <c r="N3412" s="50"/>
      <c r="Q3412" s="34"/>
      <c r="R3412" s="5"/>
      <c r="S3412" s="35"/>
    </row>
    <row r="3413" spans="1:19" ht="30" customHeight="1" x14ac:dyDescent="0.35">
      <c r="A3413" s="186" t="s">
        <v>285</v>
      </c>
      <c r="B3413" s="1211" t="s">
        <v>1436</v>
      </c>
      <c r="C3413" s="1211"/>
      <c r="D3413" s="1211"/>
      <c r="E3413" s="194">
        <v>4.8899999999999997</v>
      </c>
      <c r="F3413" s="186" t="s">
        <v>108</v>
      </c>
      <c r="G3413" s="186"/>
      <c r="H3413" s="186"/>
      <c r="I3413" s="1044"/>
      <c r="J3413" s="186">
        <v>1.1200000000000001</v>
      </c>
      <c r="K3413" s="194">
        <f>+E3413*J3413</f>
        <v>5.4767999999999999</v>
      </c>
      <c r="L3413" s="186" t="s">
        <v>108</v>
      </c>
      <c r="M3413" s="50"/>
      <c r="N3413" s="50"/>
      <c r="O3413" s="5"/>
      <c r="P3413" s="9"/>
      <c r="Q3413" s="34"/>
      <c r="R3413" s="5"/>
      <c r="S3413" s="35"/>
    </row>
    <row r="3414" spans="1:19" ht="30" customHeight="1" x14ac:dyDescent="0.35">
      <c r="A3414" s="186"/>
      <c r="B3414" s="186"/>
      <c r="C3414" s="503"/>
      <c r="D3414" s="503"/>
      <c r="E3414" s="503"/>
      <c r="F3414" s="503"/>
      <c r="G3414" s="503"/>
      <c r="H3414" s="503"/>
      <c r="I3414" s="503"/>
      <c r="J3414" s="186" t="s">
        <v>223</v>
      </c>
      <c r="K3414" s="193">
        <f>SUM(K3412:K3413)</f>
        <v>205.95680000000002</v>
      </c>
      <c r="L3414" s="186" t="s">
        <v>108</v>
      </c>
      <c r="M3414" s="96"/>
      <c r="O3414" s="5"/>
      <c r="P3414" s="9"/>
      <c r="Q3414" s="34"/>
      <c r="R3414" s="5"/>
      <c r="S3414" s="35"/>
    </row>
    <row r="3415" spans="1:19" ht="30" customHeight="1" x14ac:dyDescent="0.35">
      <c r="A3415" s="186"/>
      <c r="B3415" s="567"/>
      <c r="C3415" s="567"/>
      <c r="D3415" s="567"/>
      <c r="E3415" s="194"/>
      <c r="F3415" s="1215" t="s">
        <v>195</v>
      </c>
      <c r="G3415" s="1273" t="s">
        <v>196</v>
      </c>
      <c r="H3415" s="1273"/>
      <c r="I3415" s="1273"/>
      <c r="J3415" s="1273"/>
      <c r="K3415" s="196">
        <v>1.06</v>
      </c>
      <c r="L3415" s="186"/>
      <c r="M3415" s="50"/>
      <c r="N3415" s="50"/>
      <c r="O3415" s="5"/>
      <c r="P3415" s="9"/>
      <c r="Q3415" s="34"/>
      <c r="R3415" s="5"/>
      <c r="S3415" s="35"/>
    </row>
    <row r="3416" spans="1:19" ht="30" customHeight="1" x14ac:dyDescent="0.35">
      <c r="A3416" s="186"/>
      <c r="B3416" s="567"/>
      <c r="C3416" s="567"/>
      <c r="D3416" s="567"/>
      <c r="E3416" s="194"/>
      <c r="F3416" s="1216"/>
      <c r="G3416" s="1268" t="s">
        <v>2477</v>
      </c>
      <c r="H3416" s="1268"/>
      <c r="I3416" s="1268"/>
      <c r="J3416" s="1268"/>
      <c r="K3416" s="196">
        <v>1.05</v>
      </c>
      <c r="L3416" s="186"/>
      <c r="M3416" s="50"/>
      <c r="N3416" s="50"/>
      <c r="O3416" s="5"/>
      <c r="P3416" s="9"/>
      <c r="Q3416" s="34"/>
      <c r="R3416" s="5"/>
      <c r="S3416" s="35"/>
    </row>
    <row r="3417" spans="1:19" ht="30" customHeight="1" x14ac:dyDescent="0.35">
      <c r="A3417" s="186"/>
      <c r="B3417" s="186"/>
      <c r="C3417" s="503"/>
      <c r="D3417" s="503"/>
      <c r="E3417" s="503"/>
      <c r="F3417" s="503"/>
      <c r="G3417" s="503"/>
      <c r="H3417" s="503"/>
      <c r="I3417" s="503"/>
      <c r="J3417" s="186" t="s">
        <v>37</v>
      </c>
      <c r="K3417" s="193">
        <f>+K3414*K3415/K3416</f>
        <v>207.91829333333337</v>
      </c>
      <c r="L3417" s="186" t="s">
        <v>108</v>
      </c>
      <c r="M3417" s="50"/>
      <c r="N3417" s="50"/>
      <c r="O3417" s="5"/>
      <c r="P3417" s="9"/>
      <c r="Q3417" s="34"/>
      <c r="R3417" s="5"/>
      <c r="S3417" s="35"/>
    </row>
    <row r="3418" spans="1:19" ht="30" customHeight="1" x14ac:dyDescent="0.35">
      <c r="A3418" s="755"/>
      <c r="B3418" s="755"/>
      <c r="C3418" s="114"/>
      <c r="D3418" s="114"/>
      <c r="E3418" s="114"/>
      <c r="F3418" s="114"/>
      <c r="G3418" s="1198" t="s">
        <v>257</v>
      </c>
      <c r="H3418" s="1198"/>
      <c r="I3418" s="1198"/>
      <c r="J3418" s="560">
        <f>VLOOKUP(B3410,'Mil Cost Premiums for PUCs'!$A$4:$R$285,18,FALSE)</f>
        <v>1.3319480854780448</v>
      </c>
      <c r="K3418" s="115">
        <f>+K3417*J3418</f>
        <v>276.9363727411959</v>
      </c>
      <c r="L3418" s="755" t="s">
        <v>108</v>
      </c>
      <c r="M3418" s="50"/>
      <c r="N3418" s="50"/>
      <c r="O3418" s="5"/>
      <c r="P3418" s="9"/>
      <c r="Q3418" s="34"/>
      <c r="R3418" s="5"/>
      <c r="S3418" s="35"/>
    </row>
    <row r="3419" spans="1:19" ht="30" customHeight="1" thickBot="1" x14ac:dyDescent="0.4">
      <c r="A3419" s="755"/>
      <c r="B3419" s="755"/>
      <c r="C3419" s="114"/>
      <c r="D3419" s="114"/>
      <c r="E3419" s="114"/>
      <c r="F3419" s="114"/>
      <c r="G3419" s="1309" t="s">
        <v>3000</v>
      </c>
      <c r="H3419" s="1310"/>
      <c r="I3419" s="1311"/>
      <c r="J3419" s="560">
        <v>1.0438745311870361</v>
      </c>
      <c r="K3419" s="115">
        <f>+K3418*J3419</f>
        <v>289.08682626385416</v>
      </c>
      <c r="L3419" s="755" t="s">
        <v>108</v>
      </c>
      <c r="M3419" s="50"/>
      <c r="N3419" s="50"/>
      <c r="O3419" s="5"/>
      <c r="P3419" s="9"/>
      <c r="Q3419" s="34"/>
      <c r="R3419" s="5"/>
      <c r="S3419" s="35"/>
    </row>
    <row r="3420" spans="1:19" ht="30" customHeight="1" thickBot="1" x14ac:dyDescent="0.4">
      <c r="A3420" s="1199"/>
      <c r="B3420" s="1200"/>
      <c r="C3420" s="1200"/>
      <c r="D3420" s="1200"/>
      <c r="E3420" s="1200"/>
      <c r="F3420" s="1200"/>
      <c r="G3420" s="1200"/>
      <c r="H3420" s="1200"/>
      <c r="I3420" s="1200"/>
      <c r="J3420" s="1200"/>
      <c r="K3420" s="1200"/>
      <c r="L3420" s="1201"/>
      <c r="M3420" s="50"/>
      <c r="N3420" s="50"/>
      <c r="O3420" s="5"/>
      <c r="P3420" s="9"/>
      <c r="Q3420" s="34"/>
      <c r="R3420" s="5"/>
      <c r="S3420" s="35"/>
    </row>
    <row r="3421" spans="1:19" ht="30" customHeight="1" x14ac:dyDescent="0.35">
      <c r="A3421" s="1029" t="s">
        <v>1</v>
      </c>
      <c r="B3421" s="1030">
        <v>7417</v>
      </c>
      <c r="C3421" s="1489" t="s">
        <v>1449</v>
      </c>
      <c r="D3421" s="1490"/>
      <c r="E3421" s="1031" t="s">
        <v>3</v>
      </c>
      <c r="F3421" s="1032" t="s">
        <v>108</v>
      </c>
      <c r="G3421" s="390" t="s">
        <v>38</v>
      </c>
      <c r="H3421" s="1033">
        <v>7118.1</v>
      </c>
      <c r="I3421" s="392" t="s">
        <v>5</v>
      </c>
      <c r="J3421" s="1207" t="s">
        <v>2481</v>
      </c>
      <c r="K3421" s="1207"/>
      <c r="L3421" s="1208"/>
      <c r="M3421" s="50"/>
      <c r="N3421" s="50"/>
      <c r="O3421" s="5"/>
      <c r="P3421" s="9"/>
      <c r="Q3421" s="34"/>
      <c r="R3421" s="5"/>
      <c r="S3421" s="35"/>
    </row>
    <row r="3422" spans="1:19" ht="30" customHeight="1" x14ac:dyDescent="0.35">
      <c r="A3422" s="1034" t="s">
        <v>187</v>
      </c>
      <c r="B3422" s="1416" t="s">
        <v>211</v>
      </c>
      <c r="C3422" s="1417"/>
      <c r="D3422" s="1418"/>
      <c r="E3422" s="1035" t="s">
        <v>52</v>
      </c>
      <c r="F3422" s="1035" t="s">
        <v>53</v>
      </c>
      <c r="G3422" s="1419" t="s">
        <v>54</v>
      </c>
      <c r="H3422" s="1420"/>
      <c r="I3422" s="185" t="s">
        <v>1051</v>
      </c>
      <c r="J3422" s="1053" t="s">
        <v>1390</v>
      </c>
      <c r="K3422" s="399" t="s">
        <v>180</v>
      </c>
      <c r="L3422" s="400"/>
      <c r="M3422" s="50"/>
      <c r="N3422" s="50"/>
      <c r="O3422" s="5"/>
      <c r="P3422" s="9"/>
      <c r="Q3422" s="34"/>
      <c r="R3422" s="5"/>
      <c r="S3422" s="35"/>
    </row>
    <row r="3423" spans="1:19" ht="30" customHeight="1" x14ac:dyDescent="0.35">
      <c r="A3423" s="1036" t="s">
        <v>1450</v>
      </c>
      <c r="B3423" s="1494" t="s">
        <v>1451</v>
      </c>
      <c r="C3423" s="1495"/>
      <c r="D3423" s="1496"/>
      <c r="E3423" s="1037">
        <v>162</v>
      </c>
      <c r="F3423" s="1038" t="s">
        <v>108</v>
      </c>
      <c r="G3423" s="1039"/>
      <c r="H3423" s="1040"/>
      <c r="I3423" s="278"/>
      <c r="J3423" s="1041">
        <v>1.21</v>
      </c>
      <c r="K3423" s="1037">
        <f>+E3423*J3423</f>
        <v>196.01999999999998</v>
      </c>
      <c r="L3423" s="1041" t="s">
        <v>108</v>
      </c>
      <c r="M3423" s="50"/>
      <c r="N3423" s="50"/>
      <c r="O3423" s="5"/>
      <c r="P3423" s="9"/>
      <c r="Q3423" s="34"/>
      <c r="R3423" s="5"/>
      <c r="S3423" s="35"/>
    </row>
    <row r="3424" spans="1:19" ht="30" customHeight="1" x14ac:dyDescent="0.35">
      <c r="A3424" s="1042" t="s">
        <v>1444</v>
      </c>
      <c r="B3424" s="1211" t="s">
        <v>1409</v>
      </c>
      <c r="C3424" s="1211"/>
      <c r="D3424" s="1211"/>
      <c r="E3424" s="1037">
        <v>5.25</v>
      </c>
      <c r="F3424" s="1041" t="s">
        <v>108</v>
      </c>
      <c r="G3424" s="1043"/>
      <c r="H3424" s="1041"/>
      <c r="I3424" s="1044"/>
      <c r="J3424" s="1041">
        <v>1.21</v>
      </c>
      <c r="K3424" s="1037">
        <f>+E3424*J3424</f>
        <v>6.3525</v>
      </c>
      <c r="L3424" s="1041" t="s">
        <v>108</v>
      </c>
      <c r="M3424" s="50"/>
      <c r="N3424" s="50"/>
      <c r="O3424" s="5"/>
      <c r="P3424" s="9"/>
      <c r="Q3424" s="34"/>
      <c r="R3424" s="5"/>
      <c r="S3424" s="35"/>
    </row>
    <row r="3425" spans="1:19" ht="30" customHeight="1" x14ac:dyDescent="0.35">
      <c r="A3425" s="1041"/>
      <c r="B3425" s="1494"/>
      <c r="C3425" s="1495"/>
      <c r="D3425" s="1496"/>
      <c r="E3425" s="1037"/>
      <c r="F3425" s="1041"/>
      <c r="G3425" s="1041"/>
      <c r="H3425" s="1041"/>
      <c r="I3425" s="1041"/>
      <c r="J3425" s="1041" t="s">
        <v>223</v>
      </c>
      <c r="K3425" s="1037">
        <f>SUM(K3423:K3424)</f>
        <v>202.37249999999997</v>
      </c>
      <c r="L3425" s="1041" t="s">
        <v>108</v>
      </c>
      <c r="M3425" s="50"/>
      <c r="N3425" s="50"/>
      <c r="O3425" s="5"/>
      <c r="P3425" s="9"/>
      <c r="Q3425" s="34"/>
      <c r="R3425" s="5"/>
      <c r="S3425" s="35"/>
    </row>
    <row r="3426" spans="1:19" ht="30" customHeight="1" x14ac:dyDescent="0.35">
      <c r="A3426" s="186"/>
      <c r="B3426" s="567"/>
      <c r="C3426" s="567"/>
      <c r="D3426" s="567"/>
      <c r="E3426" s="194"/>
      <c r="F3426" s="1215" t="s">
        <v>195</v>
      </c>
      <c r="G3426" s="1273" t="s">
        <v>196</v>
      </c>
      <c r="H3426" s="1273"/>
      <c r="I3426" s="1273"/>
      <c r="J3426" s="1273"/>
      <c r="K3426" s="196">
        <v>1.06</v>
      </c>
      <c r="L3426" s="186"/>
      <c r="M3426" s="50"/>
      <c r="N3426" s="50"/>
      <c r="O3426" s="5"/>
      <c r="P3426" s="9"/>
      <c r="Q3426" s="34"/>
      <c r="R3426" s="5"/>
      <c r="S3426" s="35"/>
    </row>
    <row r="3427" spans="1:19" ht="30" customHeight="1" x14ac:dyDescent="0.35">
      <c r="A3427" s="186"/>
      <c r="B3427" s="567"/>
      <c r="C3427" s="567"/>
      <c r="D3427" s="567"/>
      <c r="E3427" s="194"/>
      <c r="F3427" s="1216"/>
      <c r="G3427" s="1268" t="s">
        <v>2477</v>
      </c>
      <c r="H3427" s="1268"/>
      <c r="I3427" s="1268"/>
      <c r="J3427" s="1268"/>
      <c r="K3427" s="196">
        <v>1.05</v>
      </c>
      <c r="L3427" s="186"/>
      <c r="M3427" s="50"/>
      <c r="N3427" s="50"/>
      <c r="O3427" s="5"/>
      <c r="P3427" s="9"/>
      <c r="Q3427" s="34"/>
      <c r="R3427" s="5"/>
      <c r="S3427" s="35"/>
    </row>
    <row r="3428" spans="1:19" ht="30" customHeight="1" x14ac:dyDescent="0.35">
      <c r="A3428" s="1041"/>
      <c r="B3428" s="1041"/>
      <c r="C3428" s="1048"/>
      <c r="D3428" s="1048"/>
      <c r="E3428" s="1048"/>
      <c r="F3428" s="1048"/>
      <c r="G3428" s="1048"/>
      <c r="H3428" s="1048"/>
      <c r="I3428" s="1048"/>
      <c r="J3428" s="1041" t="s">
        <v>37</v>
      </c>
      <c r="K3428" s="1049">
        <f>+K3425*K3426/K3427</f>
        <v>204.29985714285712</v>
      </c>
      <c r="L3428" s="1041" t="s">
        <v>108</v>
      </c>
      <c r="M3428" s="50"/>
      <c r="N3428" s="50"/>
    </row>
    <row r="3429" spans="1:19" ht="30" customHeight="1" x14ac:dyDescent="0.35">
      <c r="A3429" s="1041"/>
      <c r="B3429" s="1041"/>
      <c r="C3429" s="1048"/>
      <c r="D3429" s="1048"/>
      <c r="E3429" s="1048"/>
      <c r="F3429" s="1048"/>
      <c r="G3429" s="278"/>
      <c r="H3429" s="1048"/>
      <c r="I3429" s="1060" t="s">
        <v>257</v>
      </c>
      <c r="J3429" s="560">
        <f>VLOOKUP(B3421,'Mil Cost Premiums for PUCs'!$A$4:$R$285,18,FALSE)</f>
        <v>1.2981950150858137</v>
      </c>
      <c r="K3429" s="1049">
        <f>+K3428*J3429</f>
        <v>265.22105612560097</v>
      </c>
      <c r="L3429" s="1041" t="s">
        <v>108</v>
      </c>
      <c r="M3429" s="50"/>
      <c r="N3429" s="50"/>
      <c r="O3429" s="5"/>
      <c r="P3429" s="9"/>
      <c r="Q3429" s="34"/>
      <c r="R3429" s="5"/>
      <c r="S3429" s="35"/>
    </row>
    <row r="3430" spans="1:19" ht="30" customHeight="1" thickBot="1" x14ac:dyDescent="0.4">
      <c r="A3430" s="1041"/>
      <c r="B3430" s="1041"/>
      <c r="C3430" s="1048"/>
      <c r="D3430" s="1048"/>
      <c r="E3430" s="1048"/>
      <c r="F3430" s="1048"/>
      <c r="H3430" s="1048"/>
      <c r="I3430" s="1060" t="s">
        <v>3000</v>
      </c>
      <c r="J3430" s="560">
        <v>1.0438745311870361</v>
      </c>
      <c r="K3430" s="1049">
        <f>+K3429*J3430</f>
        <v>276.85750562404229</v>
      </c>
      <c r="L3430" s="1041" t="s">
        <v>108</v>
      </c>
      <c r="M3430" s="50"/>
      <c r="N3430" s="50"/>
      <c r="O3430" s="5"/>
      <c r="P3430" s="9"/>
      <c r="Q3430" s="34"/>
      <c r="R3430" s="5"/>
      <c r="S3430" s="35"/>
    </row>
    <row r="3431" spans="1:19" ht="30" customHeight="1" thickBot="1" x14ac:dyDescent="0.4">
      <c r="A3431" s="1199"/>
      <c r="B3431" s="1200"/>
      <c r="C3431" s="1200"/>
      <c r="D3431" s="1200"/>
      <c r="E3431" s="1200"/>
      <c r="F3431" s="1200"/>
      <c r="G3431" s="1200"/>
      <c r="H3431" s="1200"/>
      <c r="I3431" s="1200"/>
      <c r="J3431" s="1200"/>
      <c r="K3431" s="1200"/>
      <c r="L3431" s="1201"/>
      <c r="M3431" s="50"/>
      <c r="N3431" s="50"/>
      <c r="O3431" s="5"/>
      <c r="P3431" s="9"/>
      <c r="Q3431" s="34"/>
      <c r="R3431" s="5"/>
      <c r="S3431" s="35"/>
    </row>
    <row r="3432" spans="1:19" ht="30" customHeight="1" x14ac:dyDescent="0.35">
      <c r="A3432" s="388" t="s">
        <v>1</v>
      </c>
      <c r="B3432" s="389">
        <v>7418</v>
      </c>
      <c r="C3432" s="1205" t="s">
        <v>1452</v>
      </c>
      <c r="D3432" s="1206"/>
      <c r="E3432" s="392" t="s">
        <v>3</v>
      </c>
      <c r="F3432" s="393" t="s">
        <v>108</v>
      </c>
      <c r="G3432" s="390" t="s">
        <v>38</v>
      </c>
      <c r="H3432" s="132">
        <v>23192</v>
      </c>
      <c r="I3432" s="392" t="s">
        <v>5</v>
      </c>
      <c r="J3432" s="1207" t="s">
        <v>2874</v>
      </c>
      <c r="K3432" s="1207"/>
      <c r="L3432" s="1208"/>
      <c r="M3432" s="50"/>
      <c r="N3432" s="50"/>
      <c r="O3432" s="5"/>
      <c r="P3432" s="9"/>
      <c r="Q3432" s="34"/>
      <c r="R3432" s="5"/>
      <c r="S3432" s="35"/>
    </row>
    <row r="3433" spans="1:19" ht="30" customHeight="1" x14ac:dyDescent="0.35">
      <c r="A3433" s="494" t="s">
        <v>187</v>
      </c>
      <c r="B3433" s="1280" t="s">
        <v>211</v>
      </c>
      <c r="C3433" s="1281"/>
      <c r="D3433" s="1282"/>
      <c r="E3433" s="566" t="s">
        <v>52</v>
      </c>
      <c r="F3433" s="566" t="s">
        <v>53</v>
      </c>
      <c r="G3433" s="1219" t="s">
        <v>54</v>
      </c>
      <c r="H3433" s="1220"/>
      <c r="I3433" s="185" t="s">
        <v>188</v>
      </c>
      <c r="J3433" s="185"/>
      <c r="K3433" s="399" t="s">
        <v>180</v>
      </c>
      <c r="L3433" s="400"/>
      <c r="M3433" s="50"/>
      <c r="O3433" s="5"/>
      <c r="P3433" s="9"/>
      <c r="Q3433" s="34"/>
      <c r="R3433" s="5"/>
      <c r="S3433" s="35"/>
    </row>
    <row r="3434" spans="1:19" ht="30" customHeight="1" x14ac:dyDescent="0.35">
      <c r="A3434" s="790" t="s">
        <v>1453</v>
      </c>
      <c r="B3434" s="1202" t="s">
        <v>1454</v>
      </c>
      <c r="C3434" s="1203"/>
      <c r="D3434" s="1204"/>
      <c r="E3434" s="194">
        <v>133</v>
      </c>
      <c r="F3434" s="422" t="s">
        <v>108</v>
      </c>
      <c r="G3434" s="1058"/>
      <c r="H3434" s="1059"/>
      <c r="I3434" s="186">
        <v>1.02</v>
      </c>
      <c r="J3434" s="186"/>
      <c r="K3434" s="194">
        <f>+E3434*I3434</f>
        <v>135.66</v>
      </c>
      <c r="L3434" s="186" t="s">
        <v>108</v>
      </c>
      <c r="M3434" s="50"/>
      <c r="N3434" s="50"/>
      <c r="O3434" s="5"/>
      <c r="P3434" s="9"/>
      <c r="Q3434" s="34"/>
      <c r="R3434" s="5"/>
      <c r="S3434" s="35"/>
    </row>
    <row r="3435" spans="1:19" ht="30" customHeight="1" x14ac:dyDescent="0.35">
      <c r="A3435" s="186" t="s">
        <v>1444</v>
      </c>
      <c r="B3435" s="1211" t="s">
        <v>1445</v>
      </c>
      <c r="C3435" s="1211"/>
      <c r="D3435" s="1211"/>
      <c r="E3435" s="194">
        <v>4.8099999999999996</v>
      </c>
      <c r="F3435" s="186" t="s">
        <v>108</v>
      </c>
      <c r="G3435" s="186"/>
      <c r="H3435" s="186"/>
      <c r="I3435" s="186">
        <v>1.02</v>
      </c>
      <c r="J3435" s="186"/>
      <c r="K3435" s="194">
        <f>+E3435*I3435</f>
        <v>4.9062000000000001</v>
      </c>
      <c r="L3435" s="186" t="s">
        <v>108</v>
      </c>
      <c r="M3435" s="96"/>
      <c r="N3435" s="50"/>
      <c r="O3435" s="5"/>
      <c r="P3435" s="9"/>
      <c r="Q3435" s="34"/>
      <c r="R3435" s="5"/>
      <c r="S3435" s="35"/>
    </row>
    <row r="3436" spans="1:19" ht="30" customHeight="1" x14ac:dyDescent="0.35">
      <c r="A3436" s="1041"/>
      <c r="B3436" s="1494"/>
      <c r="C3436" s="1495"/>
      <c r="D3436" s="1496"/>
      <c r="E3436" s="1037"/>
      <c r="F3436" s="1041"/>
      <c r="G3436" s="1041"/>
      <c r="H3436" s="1041"/>
      <c r="I3436" s="1041"/>
      <c r="J3436" s="1041" t="s">
        <v>223</v>
      </c>
      <c r="K3436" s="1037">
        <f>SUM(K3434:K3435)</f>
        <v>140.56620000000001</v>
      </c>
      <c r="L3436" s="1041" t="s">
        <v>108</v>
      </c>
      <c r="M3436" s="50"/>
      <c r="N3436" s="50"/>
      <c r="O3436" s="5"/>
      <c r="P3436" s="9"/>
      <c r="Q3436" s="34"/>
      <c r="R3436" s="5"/>
      <c r="S3436" s="35"/>
    </row>
    <row r="3437" spans="1:19" ht="30" customHeight="1" x14ac:dyDescent="0.35">
      <c r="A3437" s="186"/>
      <c r="B3437" s="567"/>
      <c r="C3437" s="567"/>
      <c r="D3437" s="567"/>
      <c r="E3437" s="194"/>
      <c r="F3437" s="1215" t="s">
        <v>195</v>
      </c>
      <c r="G3437" s="1273" t="s">
        <v>196</v>
      </c>
      <c r="H3437" s="1273"/>
      <c r="I3437" s="1273"/>
      <c r="J3437" s="1273"/>
      <c r="K3437" s="196">
        <v>1.05</v>
      </c>
      <c r="L3437" s="186"/>
      <c r="M3437" s="50"/>
      <c r="N3437" s="50"/>
      <c r="O3437" s="5"/>
      <c r="P3437" s="9"/>
      <c r="Q3437" s="34"/>
      <c r="R3437" s="5"/>
      <c r="S3437" s="35"/>
    </row>
    <row r="3438" spans="1:19" ht="30" customHeight="1" x14ac:dyDescent="0.35">
      <c r="A3438" s="186"/>
      <c r="B3438" s="567"/>
      <c r="C3438" s="567"/>
      <c r="D3438" s="567"/>
      <c r="E3438" s="194"/>
      <c r="F3438" s="1216"/>
      <c r="G3438" s="1268" t="s">
        <v>276</v>
      </c>
      <c r="H3438" s="1268"/>
      <c r="I3438" s="1268"/>
      <c r="J3438" s="1268"/>
      <c r="K3438" s="196">
        <v>1.07</v>
      </c>
      <c r="L3438" s="186"/>
      <c r="M3438" s="50"/>
      <c r="N3438" s="50"/>
    </row>
    <row r="3439" spans="1:19" ht="30" customHeight="1" x14ac:dyDescent="0.35">
      <c r="A3439" s="186"/>
      <c r="B3439" s="186"/>
      <c r="C3439" s="503"/>
      <c r="D3439" s="503"/>
      <c r="E3439" s="503"/>
      <c r="F3439" s="503"/>
      <c r="G3439" s="503"/>
      <c r="H3439" s="503"/>
      <c r="I3439" s="503"/>
      <c r="J3439" s="186" t="s">
        <v>37</v>
      </c>
      <c r="K3439" s="193">
        <f>+K3436*K3437/K3438</f>
        <v>137.93879439252336</v>
      </c>
      <c r="L3439" s="186" t="s">
        <v>108</v>
      </c>
      <c r="M3439" s="50"/>
      <c r="N3439" s="50"/>
      <c r="O3439" s="5"/>
      <c r="P3439" s="9"/>
      <c r="Q3439" s="34"/>
      <c r="R3439" s="5"/>
      <c r="S3439" s="35"/>
    </row>
    <row r="3440" spans="1:19" ht="30" customHeight="1" thickBot="1" x14ac:dyDescent="0.4">
      <c r="A3440" s="186"/>
      <c r="B3440" s="186"/>
      <c r="C3440" s="503"/>
      <c r="D3440" s="503"/>
      <c r="E3440" s="503"/>
      <c r="F3440" s="503"/>
      <c r="G3440" s="1194" t="s">
        <v>257</v>
      </c>
      <c r="H3440" s="1195"/>
      <c r="I3440" s="1196"/>
      <c r="J3440" s="560">
        <f>VLOOKUP(B3432,'Mil Cost Premiums for PUCs'!$A$4:$R$285,18,FALSE)</f>
        <v>1.1896666233280813</v>
      </c>
      <c r="K3440" s="193">
        <f>+K3439*J3440</f>
        <v>164.10117975089975</v>
      </c>
      <c r="L3440" s="186" t="s">
        <v>108</v>
      </c>
      <c r="M3440" s="50"/>
      <c r="N3440" s="50"/>
      <c r="O3440" s="5"/>
      <c r="P3440" s="9"/>
      <c r="Q3440" s="34"/>
      <c r="R3440" s="5"/>
      <c r="S3440" s="35"/>
    </row>
    <row r="3441" spans="1:26" ht="30" customHeight="1" thickBot="1" x14ac:dyDescent="0.4">
      <c r="A3441" s="1199"/>
      <c r="B3441" s="1200"/>
      <c r="C3441" s="1200"/>
      <c r="D3441" s="1200"/>
      <c r="E3441" s="1200"/>
      <c r="F3441" s="1200"/>
      <c r="G3441" s="1200"/>
      <c r="H3441" s="1200"/>
      <c r="I3441" s="1200"/>
      <c r="J3441" s="1200"/>
      <c r="K3441" s="1200"/>
      <c r="L3441" s="1201"/>
      <c r="N3441" s="50"/>
      <c r="O3441" s="5"/>
      <c r="P3441" s="9"/>
      <c r="Q3441" s="34"/>
      <c r="R3441" s="5"/>
      <c r="S3441" s="35"/>
    </row>
    <row r="3442" spans="1:26" ht="30" customHeight="1" x14ac:dyDescent="0.35">
      <c r="A3442" s="1061" t="s">
        <v>1</v>
      </c>
      <c r="B3442" s="1062">
        <v>7421</v>
      </c>
      <c r="C3442" s="1290" t="s">
        <v>1455</v>
      </c>
      <c r="D3442" s="1291"/>
      <c r="E3442" s="392" t="s">
        <v>3</v>
      </c>
      <c r="F3442" s="393" t="s">
        <v>108</v>
      </c>
      <c r="G3442" s="390" t="s">
        <v>38</v>
      </c>
      <c r="H3442" s="135">
        <v>22520.097089855</v>
      </c>
      <c r="I3442" s="392" t="s">
        <v>5</v>
      </c>
      <c r="J3442" s="1207" t="s">
        <v>2873</v>
      </c>
      <c r="K3442" s="1207"/>
      <c r="L3442" s="1208"/>
      <c r="M3442" s="96"/>
      <c r="N3442" s="50"/>
      <c r="O3442" s="5"/>
      <c r="P3442" s="9"/>
      <c r="Q3442" s="34"/>
      <c r="R3442" s="5"/>
      <c r="S3442" s="35"/>
    </row>
    <row r="3443" spans="1:26" ht="30" customHeight="1" x14ac:dyDescent="0.35">
      <c r="A3443" s="185" t="s">
        <v>177</v>
      </c>
      <c r="B3443" s="1272" t="s">
        <v>7</v>
      </c>
      <c r="C3443" s="1272"/>
      <c r="D3443" s="1272"/>
      <c r="E3443" s="185" t="s">
        <v>178</v>
      </c>
      <c r="F3443" s="185" t="s">
        <v>52</v>
      </c>
      <c r="G3443" s="1292" t="s">
        <v>54</v>
      </c>
      <c r="H3443" s="1293"/>
      <c r="I3443" s="1223" t="s">
        <v>56</v>
      </c>
      <c r="J3443" s="1224"/>
      <c r="K3443" s="399" t="s">
        <v>180</v>
      </c>
      <c r="L3443" s="400"/>
      <c r="M3443" s="96"/>
      <c r="N3443" s="50"/>
      <c r="O3443" s="5"/>
      <c r="P3443" s="9"/>
      <c r="Q3443" s="34"/>
      <c r="R3443" s="5"/>
      <c r="S3443" s="35"/>
    </row>
    <row r="3444" spans="1:26" ht="30" customHeight="1" x14ac:dyDescent="0.35">
      <c r="A3444" s="186">
        <v>74028</v>
      </c>
      <c r="B3444" s="1202" t="s">
        <v>2937</v>
      </c>
      <c r="C3444" s="1203"/>
      <c r="D3444" s="1204"/>
      <c r="E3444" s="203">
        <v>64000</v>
      </c>
      <c r="F3444" s="344">
        <v>365</v>
      </c>
      <c r="G3444" s="525"/>
      <c r="H3444" s="401"/>
      <c r="I3444" s="1217">
        <f>+'FY2024 MILCON Inflation Table'!F23</f>
        <v>0.93863689284411045</v>
      </c>
      <c r="J3444" s="1218"/>
      <c r="K3444" s="189">
        <f>+F3444*+I3444</f>
        <v>342.60246588810031</v>
      </c>
      <c r="L3444" s="401" t="s">
        <v>108</v>
      </c>
      <c r="M3444" s="96"/>
      <c r="N3444" s="50"/>
      <c r="O3444" s="5"/>
      <c r="P3444" s="9"/>
      <c r="Q3444" s="34"/>
      <c r="R3444" s="5"/>
      <c r="S3444" s="35"/>
    </row>
    <row r="3445" spans="1:26" ht="30" customHeight="1" thickBot="1" x14ac:dyDescent="0.4">
      <c r="A3445" s="186"/>
      <c r="B3445" s="1202"/>
      <c r="C3445" s="1203"/>
      <c r="D3445" s="1204"/>
      <c r="E3445" s="520"/>
      <c r="F3445" s="784"/>
      <c r="G3445" s="520"/>
      <c r="H3445" s="750"/>
      <c r="I3445" s="503"/>
      <c r="J3445" s="494" t="s">
        <v>37</v>
      </c>
      <c r="K3445" s="190">
        <f>SUM(K3444:K3444)</f>
        <v>342.60246588810031</v>
      </c>
      <c r="L3445" s="401" t="s">
        <v>108</v>
      </c>
      <c r="M3445" s="50"/>
      <c r="O3445" s="5"/>
      <c r="P3445" s="9"/>
      <c r="Q3445" s="34"/>
      <c r="R3445" s="5"/>
      <c r="S3445" s="35"/>
    </row>
    <row r="3446" spans="1:26" ht="30" customHeight="1" thickBot="1" x14ac:dyDescent="0.4">
      <c r="A3446" s="1199"/>
      <c r="B3446" s="1200"/>
      <c r="C3446" s="1200"/>
      <c r="D3446" s="1200"/>
      <c r="E3446" s="1200"/>
      <c r="F3446" s="1200"/>
      <c r="G3446" s="1200"/>
      <c r="H3446" s="1200"/>
      <c r="I3446" s="1200"/>
      <c r="J3446" s="1200"/>
      <c r="K3446" s="1200"/>
      <c r="L3446" s="1201"/>
      <c r="M3446" s="50"/>
      <c r="N3446" s="50"/>
      <c r="O3446" s="5"/>
      <c r="P3446" s="9"/>
      <c r="Q3446" s="34"/>
      <c r="R3446" s="5"/>
      <c r="S3446" s="35"/>
    </row>
    <row r="3447" spans="1:26" ht="30" customHeight="1" x14ac:dyDescent="0.35">
      <c r="A3447" s="388" t="s">
        <v>1</v>
      </c>
      <c r="B3447" s="389">
        <v>7422</v>
      </c>
      <c r="C3447" s="1205" t="s">
        <v>1456</v>
      </c>
      <c r="D3447" s="1206"/>
      <c r="E3447" s="392" t="s">
        <v>3</v>
      </c>
      <c r="F3447" s="393" t="s">
        <v>108</v>
      </c>
      <c r="G3447" s="529" t="s">
        <v>1381</v>
      </c>
      <c r="H3447" s="132">
        <v>12410</v>
      </c>
      <c r="I3447" s="392" t="s">
        <v>5</v>
      </c>
      <c r="J3447" s="1207" t="s">
        <v>2874</v>
      </c>
      <c r="K3447" s="1207"/>
      <c r="L3447" s="1208"/>
      <c r="M3447" s="50"/>
      <c r="N3447" s="96"/>
      <c r="O3447" s="5"/>
      <c r="P3447" s="9"/>
      <c r="Q3447" s="34"/>
      <c r="R3447" s="5"/>
      <c r="S3447" s="35"/>
    </row>
    <row r="3448" spans="1:26" ht="30" customHeight="1" x14ac:dyDescent="0.35">
      <c r="A3448" s="494" t="s">
        <v>187</v>
      </c>
      <c r="B3448" s="1280" t="s">
        <v>211</v>
      </c>
      <c r="C3448" s="1281"/>
      <c r="D3448" s="1282"/>
      <c r="E3448" s="566" t="s">
        <v>52</v>
      </c>
      <c r="F3448" s="566" t="s">
        <v>53</v>
      </c>
      <c r="G3448" s="1219" t="s">
        <v>54</v>
      </c>
      <c r="H3448" s="1220"/>
      <c r="I3448" s="185" t="s">
        <v>188</v>
      </c>
      <c r="J3448" s="185"/>
      <c r="K3448" s="399" t="s">
        <v>180</v>
      </c>
      <c r="L3448" s="400"/>
      <c r="M3448" s="50"/>
      <c r="N3448" s="50"/>
    </row>
    <row r="3449" spans="1:26" ht="30" customHeight="1" x14ac:dyDescent="0.35">
      <c r="A3449" s="790" t="s">
        <v>437</v>
      </c>
      <c r="B3449" s="1202" t="s">
        <v>1457</v>
      </c>
      <c r="C3449" s="1203"/>
      <c r="D3449" s="1204"/>
      <c r="E3449" s="194">
        <v>170</v>
      </c>
      <c r="F3449" s="422" t="s">
        <v>108</v>
      </c>
      <c r="G3449" s="1058"/>
      <c r="H3449" s="1059"/>
      <c r="I3449" s="186">
        <v>0.98</v>
      </c>
      <c r="J3449" s="204"/>
      <c r="K3449" s="194">
        <f>+E3449*I3449</f>
        <v>166.6</v>
      </c>
      <c r="L3449" s="186" t="s">
        <v>108</v>
      </c>
      <c r="M3449" s="50"/>
      <c r="N3449" s="50"/>
      <c r="O3449" s="5"/>
      <c r="P3449" s="9"/>
      <c r="Q3449" s="34"/>
      <c r="R3449" s="5"/>
      <c r="S3449" s="35"/>
      <c r="X3449" s="396"/>
      <c r="Y3449" s="396"/>
    </row>
    <row r="3450" spans="1:26" ht="30" customHeight="1" x14ac:dyDescent="0.35">
      <c r="A3450" s="186" t="s">
        <v>438</v>
      </c>
      <c r="B3450" s="1211" t="s">
        <v>1458</v>
      </c>
      <c r="C3450" s="1211"/>
      <c r="D3450" s="1211"/>
      <c r="E3450" s="194">
        <v>5.09</v>
      </c>
      <c r="F3450" s="186" t="s">
        <v>108</v>
      </c>
      <c r="G3450" s="186"/>
      <c r="H3450" s="186"/>
      <c r="I3450" s="186">
        <v>0.98</v>
      </c>
      <c r="J3450" s="204"/>
      <c r="K3450" s="194">
        <f>+E3450*I3450</f>
        <v>4.9882</v>
      </c>
      <c r="L3450" s="186" t="s">
        <v>108</v>
      </c>
      <c r="M3450" s="50"/>
      <c r="N3450" s="50"/>
      <c r="O3450" s="5"/>
      <c r="P3450" s="9"/>
      <c r="Q3450" s="34"/>
      <c r="R3450" s="5"/>
      <c r="S3450" s="35"/>
      <c r="Z3450" s="396"/>
    </row>
    <row r="3451" spans="1:26" ht="30" customHeight="1" x14ac:dyDescent="0.35">
      <c r="A3451" s="1041"/>
      <c r="B3451" s="1494"/>
      <c r="C3451" s="1495"/>
      <c r="D3451" s="1496"/>
      <c r="E3451" s="1037"/>
      <c r="F3451" s="1041"/>
      <c r="G3451" s="1041"/>
      <c r="H3451" s="1041"/>
      <c r="I3451" s="1041"/>
      <c r="J3451" s="1041" t="s">
        <v>223</v>
      </c>
      <c r="K3451" s="1037">
        <f>SUM(K3449:K3450)</f>
        <v>171.5882</v>
      </c>
      <c r="L3451" s="1041" t="s">
        <v>108</v>
      </c>
      <c r="M3451" s="50"/>
      <c r="N3451" s="50"/>
      <c r="O3451" s="5"/>
      <c r="P3451" s="9"/>
      <c r="Q3451" s="34"/>
      <c r="R3451" s="5"/>
      <c r="S3451" s="35"/>
    </row>
    <row r="3452" spans="1:26" ht="30" customHeight="1" x14ac:dyDescent="0.35">
      <c r="A3452" s="186"/>
      <c r="B3452" s="567"/>
      <c r="C3452" s="567"/>
      <c r="D3452" s="567"/>
      <c r="E3452" s="194"/>
      <c r="F3452" s="1215" t="s">
        <v>195</v>
      </c>
      <c r="G3452" s="1273" t="s">
        <v>196</v>
      </c>
      <c r="H3452" s="1273"/>
      <c r="I3452" s="1273"/>
      <c r="J3452" s="1273"/>
      <c r="K3452" s="196">
        <v>1.05</v>
      </c>
      <c r="L3452" s="186"/>
      <c r="M3452" s="50"/>
      <c r="N3452" s="50"/>
      <c r="O3452" s="5"/>
      <c r="P3452" s="9"/>
      <c r="Q3452" s="34"/>
      <c r="R3452" s="5"/>
      <c r="S3452" s="35"/>
    </row>
    <row r="3453" spans="1:26" ht="30" customHeight="1" x14ac:dyDescent="0.35">
      <c r="A3453" s="186"/>
      <c r="B3453" s="567"/>
      <c r="C3453" s="567"/>
      <c r="D3453" s="567"/>
      <c r="E3453" s="194"/>
      <c r="F3453" s="1216"/>
      <c r="G3453" s="1268" t="s">
        <v>2875</v>
      </c>
      <c r="H3453" s="1268"/>
      <c r="I3453" s="1268"/>
      <c r="J3453" s="1268"/>
      <c r="K3453" s="196">
        <v>1.07</v>
      </c>
      <c r="L3453" s="186"/>
      <c r="M3453" s="50"/>
      <c r="N3453" s="50"/>
      <c r="O3453" s="5"/>
      <c r="P3453" s="9"/>
      <c r="Q3453" s="34"/>
      <c r="R3453" s="5"/>
      <c r="S3453" s="35"/>
    </row>
    <row r="3454" spans="1:26" ht="30" customHeight="1" x14ac:dyDescent="0.35">
      <c r="A3454" s="186"/>
      <c r="B3454" s="186"/>
      <c r="C3454" s="503"/>
      <c r="D3454" s="503"/>
      <c r="E3454" s="503"/>
      <c r="F3454" s="503"/>
      <c r="G3454" s="503"/>
      <c r="H3454" s="503"/>
      <c r="I3454" s="503"/>
      <c r="J3454" s="186" t="s">
        <v>37</v>
      </c>
      <c r="K3454" s="193">
        <f>+K3451*K3452/K3453</f>
        <v>168.38094392523362</v>
      </c>
      <c r="L3454" s="186" t="s">
        <v>108</v>
      </c>
      <c r="M3454" s="50"/>
      <c r="N3454" s="50"/>
      <c r="O3454" s="5"/>
      <c r="P3454" s="9"/>
      <c r="Q3454" s="34"/>
      <c r="R3454" s="5"/>
      <c r="S3454" s="35"/>
    </row>
    <row r="3455" spans="1:26" ht="30" customHeight="1" thickBot="1" x14ac:dyDescent="0.4">
      <c r="A3455" s="186"/>
      <c r="B3455" s="186"/>
      <c r="C3455" s="503"/>
      <c r="D3455" s="503"/>
      <c r="E3455" s="503"/>
      <c r="F3455" s="503"/>
      <c r="G3455" s="1194" t="s">
        <v>257</v>
      </c>
      <c r="H3455" s="1195"/>
      <c r="I3455" s="1196"/>
      <c r="J3455" s="560">
        <f>VLOOKUP(B3447,'Mil Cost Premiums for PUCs'!$A$4:$R$285,18,FALSE)</f>
        <v>1.2051322894313463</v>
      </c>
      <c r="K3455" s="193">
        <f>+K3454*J3455</f>
        <v>202.92131244922794</v>
      </c>
      <c r="L3455" s="186" t="s">
        <v>108</v>
      </c>
      <c r="M3455" s="50"/>
      <c r="N3455" s="50"/>
      <c r="O3455" s="5"/>
      <c r="P3455" s="9"/>
      <c r="Q3455" s="34"/>
      <c r="R3455" s="5"/>
      <c r="S3455" s="35"/>
    </row>
    <row r="3456" spans="1:26" ht="30" customHeight="1" thickBot="1" x14ac:dyDescent="0.4">
      <c r="A3456" s="1199"/>
      <c r="B3456" s="1200"/>
      <c r="C3456" s="1200"/>
      <c r="D3456" s="1200"/>
      <c r="E3456" s="1200"/>
      <c r="F3456" s="1200"/>
      <c r="G3456" s="1200"/>
      <c r="H3456" s="1200"/>
      <c r="I3456" s="1200"/>
      <c r="J3456" s="1200"/>
      <c r="K3456" s="1200"/>
      <c r="L3456" s="1201"/>
      <c r="N3456" s="50"/>
      <c r="O3456" s="5"/>
      <c r="P3456" s="9"/>
      <c r="Q3456" s="34"/>
      <c r="R3456" s="5"/>
      <c r="S3456" s="35"/>
    </row>
    <row r="3457" spans="1:19" ht="30" customHeight="1" x14ac:dyDescent="0.35">
      <c r="A3457" s="388" t="s">
        <v>1</v>
      </c>
      <c r="B3457" s="389">
        <v>7431</v>
      </c>
      <c r="C3457" s="1205" t="s">
        <v>1459</v>
      </c>
      <c r="D3457" s="1206"/>
      <c r="E3457" s="392" t="s">
        <v>3</v>
      </c>
      <c r="F3457" s="393" t="s">
        <v>108</v>
      </c>
      <c r="G3457" s="390" t="s">
        <v>38</v>
      </c>
      <c r="H3457" s="132">
        <v>10076.6069911504</v>
      </c>
      <c r="I3457" s="392" t="s">
        <v>5</v>
      </c>
      <c r="J3457" s="1207" t="s">
        <v>2481</v>
      </c>
      <c r="K3457" s="1207"/>
      <c r="L3457" s="1208"/>
      <c r="M3457" s="50"/>
      <c r="N3457" s="50"/>
      <c r="O3457" s="5"/>
      <c r="P3457" s="9"/>
      <c r="Q3457" s="34"/>
      <c r="R3457" s="5"/>
      <c r="S3457" s="35"/>
    </row>
    <row r="3458" spans="1:19" ht="30" customHeight="1" x14ac:dyDescent="0.35">
      <c r="A3458" s="494" t="s">
        <v>187</v>
      </c>
      <c r="B3458" s="1280" t="s">
        <v>211</v>
      </c>
      <c r="C3458" s="1281"/>
      <c r="D3458" s="1282"/>
      <c r="E3458" s="566" t="s">
        <v>52</v>
      </c>
      <c r="F3458" s="566" t="s">
        <v>53</v>
      </c>
      <c r="G3458" s="1219" t="s">
        <v>54</v>
      </c>
      <c r="H3458" s="1220"/>
      <c r="I3458" s="185" t="s">
        <v>1051</v>
      </c>
      <c r="J3458" s="185" t="s">
        <v>188</v>
      </c>
      <c r="K3458" s="399" t="s">
        <v>180</v>
      </c>
      <c r="L3458" s="400"/>
      <c r="M3458" s="50"/>
      <c r="N3458" s="50"/>
      <c r="O3458" s="5"/>
      <c r="P3458" s="9"/>
      <c r="Q3458" s="34"/>
      <c r="R3458" s="5"/>
      <c r="S3458" s="35"/>
    </row>
    <row r="3459" spans="1:19" ht="30" customHeight="1" x14ac:dyDescent="0.35">
      <c r="A3459" s="1063" t="s">
        <v>1460</v>
      </c>
      <c r="B3459" s="1622" t="s">
        <v>1461</v>
      </c>
      <c r="C3459" s="1512"/>
      <c r="D3459" s="1256"/>
      <c r="E3459" s="147">
        <v>131</v>
      </c>
      <c r="F3459" s="350" t="s">
        <v>108</v>
      </c>
      <c r="G3459" s="1058"/>
      <c r="H3459" s="1059"/>
      <c r="I3459" s="278"/>
      <c r="J3459" s="755">
        <v>1.21</v>
      </c>
      <c r="K3459" s="147">
        <f>+E3459*J3459</f>
        <v>158.51</v>
      </c>
      <c r="L3459" s="755" t="s">
        <v>108</v>
      </c>
      <c r="M3459" s="50"/>
      <c r="N3459" s="50"/>
      <c r="O3459" s="5"/>
      <c r="P3459" s="9"/>
      <c r="Q3459" s="34"/>
      <c r="R3459" s="5"/>
      <c r="S3459" s="35"/>
    </row>
    <row r="3460" spans="1:19" ht="30" customHeight="1" x14ac:dyDescent="0.35">
      <c r="A3460" s="186" t="s">
        <v>1444</v>
      </c>
      <c r="B3460" s="1211" t="s">
        <v>1436</v>
      </c>
      <c r="C3460" s="1211"/>
      <c r="D3460" s="1211"/>
      <c r="E3460" s="194">
        <v>4.7</v>
      </c>
      <c r="F3460" s="186" t="s">
        <v>108</v>
      </c>
      <c r="G3460" s="186"/>
      <c r="H3460" s="186"/>
      <c r="I3460" s="1044"/>
      <c r="J3460" s="755">
        <v>1.21</v>
      </c>
      <c r="K3460" s="147">
        <f>E3460*J3460</f>
        <v>5.6870000000000003</v>
      </c>
      <c r="L3460" s="186" t="s">
        <v>108</v>
      </c>
      <c r="M3460" s="50"/>
      <c r="N3460" s="97"/>
    </row>
    <row r="3461" spans="1:19" ht="30" customHeight="1" x14ac:dyDescent="0.35">
      <c r="A3461" s="1016" t="s">
        <v>1462</v>
      </c>
      <c r="B3461" s="1212" t="s">
        <v>1463</v>
      </c>
      <c r="C3461" s="1213"/>
      <c r="D3461" s="1214"/>
      <c r="E3461" s="194">
        <f>(242+297)/2</f>
        <v>269.5</v>
      </c>
      <c r="F3461" s="186" t="s">
        <v>1464</v>
      </c>
      <c r="G3461" s="194">
        <f>1000*E3461/H3457</f>
        <v>26.745113730909974</v>
      </c>
      <c r="H3461" s="186" t="s">
        <v>1465</v>
      </c>
      <c r="J3461" s="186">
        <v>1.1200000000000001</v>
      </c>
      <c r="K3461" s="194">
        <f>G3461*J3461</f>
        <v>29.954527378619176</v>
      </c>
      <c r="L3461" s="186" t="s">
        <v>108</v>
      </c>
      <c r="M3461" s="50"/>
      <c r="N3461" s="50"/>
      <c r="O3461" s="5"/>
      <c r="P3461" s="9"/>
      <c r="Q3461" s="34"/>
      <c r="R3461" s="5"/>
      <c r="S3461" s="35"/>
    </row>
    <row r="3462" spans="1:19" ht="30" customHeight="1" x14ac:dyDescent="0.35">
      <c r="A3462" s="1041"/>
      <c r="B3462" s="1494"/>
      <c r="C3462" s="1495"/>
      <c r="D3462" s="1496"/>
      <c r="E3462" s="1037"/>
      <c r="F3462" s="1041"/>
      <c r="G3462" s="1041"/>
      <c r="H3462" s="1041"/>
      <c r="I3462" s="1041"/>
      <c r="J3462" s="1041" t="s">
        <v>223</v>
      </c>
      <c r="K3462" s="1037">
        <f>SUM(K3459:K3461)</f>
        <v>194.15152737861916</v>
      </c>
      <c r="L3462" s="1041" t="s">
        <v>108</v>
      </c>
      <c r="M3462" s="50"/>
      <c r="N3462" s="50"/>
      <c r="O3462" s="5"/>
      <c r="P3462" s="9"/>
      <c r="Q3462" s="34"/>
      <c r="R3462" s="5"/>
      <c r="S3462" s="35"/>
    </row>
    <row r="3463" spans="1:19" ht="30" customHeight="1" x14ac:dyDescent="0.35">
      <c r="A3463" s="186"/>
      <c r="B3463" s="567"/>
      <c r="C3463" s="567"/>
      <c r="D3463" s="567"/>
      <c r="E3463" s="194"/>
      <c r="F3463" s="1215" t="s">
        <v>195</v>
      </c>
      <c r="G3463" s="1273" t="s">
        <v>196</v>
      </c>
      <c r="H3463" s="1273"/>
      <c r="I3463" s="1273"/>
      <c r="J3463" s="1273"/>
      <c r="K3463" s="196">
        <v>1.06</v>
      </c>
      <c r="L3463" s="186"/>
      <c r="M3463" s="50"/>
      <c r="N3463" s="50"/>
      <c r="O3463" s="5"/>
      <c r="P3463" s="9"/>
      <c r="Q3463" s="34"/>
      <c r="R3463" s="5"/>
      <c r="S3463" s="35"/>
    </row>
    <row r="3464" spans="1:19" ht="30" customHeight="1" x14ac:dyDescent="0.35">
      <c r="A3464" s="186"/>
      <c r="B3464" s="567"/>
      <c r="C3464" s="567"/>
      <c r="D3464" s="567"/>
      <c r="E3464" s="194"/>
      <c r="F3464" s="1216"/>
      <c r="G3464" s="1268" t="s">
        <v>2477</v>
      </c>
      <c r="H3464" s="1268"/>
      <c r="I3464" s="1268"/>
      <c r="J3464" s="1268"/>
      <c r="K3464" s="196">
        <v>1.05</v>
      </c>
      <c r="L3464" s="186"/>
      <c r="M3464" s="50"/>
      <c r="N3464" s="50"/>
      <c r="O3464" s="5"/>
      <c r="P3464" s="9"/>
      <c r="Q3464" s="34"/>
      <c r="R3464" s="5"/>
      <c r="S3464" s="35"/>
    </row>
    <row r="3465" spans="1:19" ht="30" customHeight="1" x14ac:dyDescent="0.35">
      <c r="A3465" s="186"/>
      <c r="B3465" s="186"/>
      <c r="C3465" s="503"/>
      <c r="D3465" s="503"/>
      <c r="E3465" s="503"/>
      <c r="F3465" s="503"/>
      <c r="G3465" s="503"/>
      <c r="H3465" s="503"/>
      <c r="I3465" s="503"/>
      <c r="J3465" s="186" t="s">
        <v>37</v>
      </c>
      <c r="K3465" s="193">
        <f>+K3462*K3463/K3464</f>
        <v>196.00058954412984</v>
      </c>
      <c r="L3465" s="186" t="s">
        <v>108</v>
      </c>
      <c r="M3465" s="1064"/>
      <c r="N3465" s="50"/>
      <c r="O3465" s="5"/>
      <c r="P3465" s="9"/>
      <c r="Q3465" s="34"/>
      <c r="R3465" s="5"/>
      <c r="S3465" s="35"/>
    </row>
    <row r="3466" spans="1:19" ht="30" customHeight="1" x14ac:dyDescent="0.35">
      <c r="A3466" s="186"/>
      <c r="B3466" s="186"/>
      <c r="C3466" s="503"/>
      <c r="D3466" s="503"/>
      <c r="E3466" s="503"/>
      <c r="F3466" s="503"/>
      <c r="G3466" s="1198" t="s">
        <v>257</v>
      </c>
      <c r="H3466" s="1198"/>
      <c r="I3466" s="1198"/>
      <c r="J3466" s="560">
        <f>VLOOKUP(B3457,'Mil Cost Premiums for PUCs'!$A$4:$R$285,18,FALSE)</f>
        <v>1.3148549708569053</v>
      </c>
      <c r="K3466" s="193">
        <f>+K3465*J3466</f>
        <v>257.71234945298312</v>
      </c>
      <c r="L3466" s="186" t="s">
        <v>108</v>
      </c>
      <c r="M3466" s="50"/>
      <c r="N3466" s="50"/>
      <c r="O3466" s="5"/>
      <c r="P3466" s="9"/>
      <c r="Q3466" s="34"/>
      <c r="R3466" s="5"/>
      <c r="S3466" s="35"/>
    </row>
    <row r="3467" spans="1:19" ht="30" customHeight="1" thickBot="1" x14ac:dyDescent="0.4">
      <c r="A3467" s="186"/>
      <c r="B3467" s="186"/>
      <c r="C3467" s="503"/>
      <c r="D3467" s="503"/>
      <c r="E3467" s="503"/>
      <c r="F3467" s="503"/>
      <c r="G3467" s="1309" t="s">
        <v>3000</v>
      </c>
      <c r="H3467" s="1310"/>
      <c r="I3467" s="1311"/>
      <c r="J3467" s="560">
        <v>1.0438745311870361</v>
      </c>
      <c r="K3467" s="193">
        <f>+K3466*J3467</f>
        <v>269.0193579663424</v>
      </c>
      <c r="L3467" s="186" t="s">
        <v>108</v>
      </c>
      <c r="M3467" s="50"/>
      <c r="N3467" s="50"/>
      <c r="O3467" s="5"/>
      <c r="P3467" s="9"/>
      <c r="Q3467" s="34"/>
      <c r="R3467" s="5"/>
      <c r="S3467" s="35"/>
    </row>
    <row r="3468" spans="1:19" ht="30" customHeight="1" thickBot="1" x14ac:dyDescent="0.4">
      <c r="A3468" s="1199"/>
      <c r="B3468" s="1200"/>
      <c r="C3468" s="1200"/>
      <c r="D3468" s="1200"/>
      <c r="E3468" s="1200"/>
      <c r="F3468" s="1200"/>
      <c r="G3468" s="1200"/>
      <c r="H3468" s="1200"/>
      <c r="I3468" s="1200"/>
      <c r="J3468" s="1200"/>
      <c r="K3468" s="1200"/>
      <c r="L3468" s="1201"/>
      <c r="M3468" s="165"/>
      <c r="N3468" s="50"/>
      <c r="O3468" s="5"/>
      <c r="P3468" s="9"/>
      <c r="Q3468" s="34"/>
      <c r="R3468" s="5"/>
      <c r="S3468" s="35"/>
    </row>
    <row r="3469" spans="1:19" ht="30" customHeight="1" x14ac:dyDescent="0.35">
      <c r="A3469" s="388" t="s">
        <v>1</v>
      </c>
      <c r="B3469" s="389">
        <v>7440</v>
      </c>
      <c r="C3469" s="1205" t="s">
        <v>1466</v>
      </c>
      <c r="D3469" s="1206"/>
      <c r="E3469" s="392" t="s">
        <v>3</v>
      </c>
      <c r="F3469" s="393" t="s">
        <v>108</v>
      </c>
      <c r="G3469" s="390" t="s">
        <v>38</v>
      </c>
      <c r="H3469" s="132">
        <v>8674.5400000000009</v>
      </c>
      <c r="I3469" s="392" t="s">
        <v>5</v>
      </c>
      <c r="J3469" s="1207" t="s">
        <v>2481</v>
      </c>
      <c r="K3469" s="1207"/>
      <c r="L3469" s="1208"/>
      <c r="M3469" s="50"/>
      <c r="O3469" s="5"/>
      <c r="P3469" s="9"/>
      <c r="Q3469" s="34"/>
      <c r="R3469" s="5"/>
      <c r="S3469" s="35"/>
    </row>
    <row r="3470" spans="1:19" ht="30" customHeight="1" x14ac:dyDescent="0.35">
      <c r="A3470" s="494" t="s">
        <v>187</v>
      </c>
      <c r="B3470" s="1280" t="s">
        <v>211</v>
      </c>
      <c r="C3470" s="1281"/>
      <c r="D3470" s="1282"/>
      <c r="E3470" s="566" t="s">
        <v>52</v>
      </c>
      <c r="F3470" s="566" t="s">
        <v>53</v>
      </c>
      <c r="G3470" s="1219" t="s">
        <v>54</v>
      </c>
      <c r="H3470" s="1220"/>
      <c r="I3470" s="185" t="s">
        <v>1051</v>
      </c>
      <c r="J3470" s="185" t="s">
        <v>188</v>
      </c>
      <c r="K3470" s="399" t="s">
        <v>180</v>
      </c>
      <c r="L3470" s="400"/>
      <c r="M3470" s="50"/>
      <c r="N3470" s="50"/>
      <c r="O3470" s="5"/>
      <c r="P3470" s="9"/>
      <c r="Q3470" s="34"/>
      <c r="R3470" s="5"/>
      <c r="S3470" s="35"/>
    </row>
    <row r="3471" spans="1:19" ht="30" customHeight="1" x14ac:dyDescent="0.35">
      <c r="A3471" s="790" t="s">
        <v>1450</v>
      </c>
      <c r="B3471" s="1211" t="s">
        <v>1467</v>
      </c>
      <c r="C3471" s="1211"/>
      <c r="D3471" s="1211"/>
      <c r="E3471" s="194">
        <v>213</v>
      </c>
      <c r="F3471" s="186" t="s">
        <v>108</v>
      </c>
      <c r="G3471" s="186"/>
      <c r="H3471" s="186"/>
      <c r="I3471" s="278"/>
      <c r="J3471" s="186">
        <v>1.21</v>
      </c>
      <c r="K3471" s="194">
        <f>+E3471*J3471</f>
        <v>257.73</v>
      </c>
      <c r="L3471" s="186" t="s">
        <v>108</v>
      </c>
      <c r="M3471" s="50"/>
      <c r="N3471" s="50"/>
      <c r="O3471" s="5"/>
      <c r="P3471" s="9"/>
      <c r="Q3471" s="34"/>
      <c r="R3471" s="5"/>
      <c r="S3471" s="35"/>
    </row>
    <row r="3472" spans="1:19" ht="30" customHeight="1" x14ac:dyDescent="0.35">
      <c r="A3472" s="790" t="s">
        <v>1444</v>
      </c>
      <c r="B3472" s="1211" t="s">
        <v>2523</v>
      </c>
      <c r="C3472" s="1211"/>
      <c r="D3472" s="1211"/>
      <c r="E3472" s="194">
        <v>5.46</v>
      </c>
      <c r="F3472" s="186" t="s">
        <v>108</v>
      </c>
      <c r="G3472" s="186"/>
      <c r="H3472" s="186"/>
      <c r="I3472" s="1044"/>
      <c r="J3472" s="186">
        <v>1.21</v>
      </c>
      <c r="K3472" s="194">
        <f>+E3472*J3472</f>
        <v>6.6065999999999994</v>
      </c>
      <c r="L3472" s="186" t="s">
        <v>108</v>
      </c>
      <c r="M3472" s="50"/>
      <c r="N3472" s="50"/>
      <c r="O3472" s="5"/>
      <c r="P3472" s="9"/>
      <c r="Q3472" s="34"/>
      <c r="R3472" s="5"/>
      <c r="S3472" s="35"/>
    </row>
    <row r="3473" spans="1:23" ht="30" customHeight="1" x14ac:dyDescent="0.35">
      <c r="A3473" s="1041"/>
      <c r="B3473" s="1494"/>
      <c r="C3473" s="1495"/>
      <c r="D3473" s="1496"/>
      <c r="E3473" s="1037"/>
      <c r="F3473" s="1041"/>
      <c r="G3473" s="1041"/>
      <c r="H3473" s="1041"/>
      <c r="I3473" s="1041"/>
      <c r="J3473" s="1041" t="s">
        <v>223</v>
      </c>
      <c r="K3473" s="1037">
        <f>SUM(K3471:K3472)</f>
        <v>264.33660000000003</v>
      </c>
      <c r="L3473" s="1041" t="s">
        <v>108</v>
      </c>
      <c r="M3473" s="50"/>
      <c r="N3473" s="50"/>
      <c r="O3473" s="5"/>
      <c r="P3473" s="9"/>
      <c r="Q3473" s="34"/>
      <c r="R3473" s="5"/>
      <c r="S3473" s="35"/>
    </row>
    <row r="3474" spans="1:23" ht="30" customHeight="1" x14ac:dyDescent="0.35">
      <c r="A3474" s="186"/>
      <c r="B3474" s="567"/>
      <c r="C3474" s="567"/>
      <c r="D3474" s="567"/>
      <c r="E3474" s="194"/>
      <c r="F3474" s="1215" t="s">
        <v>195</v>
      </c>
      <c r="G3474" s="1273" t="s">
        <v>196</v>
      </c>
      <c r="H3474" s="1273"/>
      <c r="I3474" s="1273"/>
      <c r="J3474" s="1273"/>
      <c r="K3474" s="196">
        <v>1.06</v>
      </c>
      <c r="L3474" s="186"/>
      <c r="M3474" s="96"/>
      <c r="N3474" s="50"/>
      <c r="O3474" s="5"/>
      <c r="P3474" s="9"/>
      <c r="Q3474" s="34"/>
      <c r="R3474" s="5"/>
      <c r="S3474" s="35"/>
    </row>
    <row r="3475" spans="1:23" ht="30" customHeight="1" x14ac:dyDescent="0.35">
      <c r="A3475" s="186"/>
      <c r="B3475" s="567"/>
      <c r="C3475" s="567"/>
      <c r="D3475" s="567"/>
      <c r="E3475" s="194"/>
      <c r="F3475" s="1216"/>
      <c r="G3475" s="1268" t="s">
        <v>2477</v>
      </c>
      <c r="H3475" s="1268"/>
      <c r="I3475" s="1268"/>
      <c r="J3475" s="1268"/>
      <c r="K3475" s="196">
        <v>1.05</v>
      </c>
      <c r="L3475" s="186"/>
      <c r="M3475" s="50"/>
      <c r="N3475" s="50"/>
      <c r="O3475" s="5"/>
      <c r="P3475" s="384"/>
      <c r="Q3475" s="34"/>
      <c r="R3475" s="5"/>
      <c r="S3475" s="35"/>
    </row>
    <row r="3476" spans="1:23" ht="30" customHeight="1" x14ac:dyDescent="0.35">
      <c r="A3476" s="186"/>
      <c r="B3476" s="186"/>
      <c r="C3476" s="503"/>
      <c r="D3476" s="503"/>
      <c r="E3476" s="503"/>
      <c r="F3476" s="503"/>
      <c r="G3476" s="503"/>
      <c r="H3476" s="503"/>
      <c r="I3476" s="503"/>
      <c r="J3476" s="186" t="s">
        <v>37</v>
      </c>
      <c r="K3476" s="193">
        <f>+K3473*K3474/K3475</f>
        <v>266.85409142857145</v>
      </c>
      <c r="L3476" s="186" t="s">
        <v>108</v>
      </c>
      <c r="M3476" s="50"/>
      <c r="N3476" s="50"/>
    </row>
    <row r="3477" spans="1:23" ht="30" customHeight="1" x14ac:dyDescent="0.35">
      <c r="A3477" s="186"/>
      <c r="B3477" s="186"/>
      <c r="C3477" s="503"/>
      <c r="D3477" s="503"/>
      <c r="E3477" s="503"/>
      <c r="F3477" s="503"/>
      <c r="G3477" s="1198" t="s">
        <v>257</v>
      </c>
      <c r="H3477" s="1198"/>
      <c r="I3477" s="1198"/>
      <c r="J3477" s="560">
        <f>VLOOKUP(B3469,'Mil Cost Premiums for PUCs'!$A$4:$R$285,18,FALSE)</f>
        <v>1.3148549708569053</v>
      </c>
      <c r="K3477" s="193">
        <f>+K3476*J3477</f>
        <v>350.87442860836023</v>
      </c>
      <c r="L3477" s="186" t="s">
        <v>108</v>
      </c>
      <c r="M3477" s="50"/>
      <c r="N3477" s="50"/>
      <c r="O3477" s="5"/>
      <c r="P3477" s="9"/>
      <c r="Q3477" s="34"/>
      <c r="R3477" s="5"/>
      <c r="S3477" s="35"/>
      <c r="U3477" s="396"/>
    </row>
    <row r="3478" spans="1:23" ht="30" customHeight="1" thickBot="1" x14ac:dyDescent="0.4">
      <c r="A3478" s="186"/>
      <c r="B3478" s="186"/>
      <c r="C3478" s="503"/>
      <c r="D3478" s="503"/>
      <c r="E3478" s="503"/>
      <c r="F3478" s="503"/>
      <c r="G3478" s="1309" t="s">
        <v>3000</v>
      </c>
      <c r="H3478" s="1310"/>
      <c r="I3478" s="1311"/>
      <c r="J3478" s="560">
        <v>1.0438745311870361</v>
      </c>
      <c r="K3478" s="193">
        <f>+K3477*J3478</f>
        <v>366.26887966907123</v>
      </c>
      <c r="L3478" s="186" t="s">
        <v>108</v>
      </c>
      <c r="M3478" s="50"/>
      <c r="N3478" s="50"/>
      <c r="O3478" s="5"/>
      <c r="Q3478" s="34"/>
      <c r="R3478" s="5"/>
      <c r="S3478" s="35"/>
    </row>
    <row r="3479" spans="1:23" ht="30" customHeight="1" thickBot="1" x14ac:dyDescent="0.4">
      <c r="A3479" s="1199"/>
      <c r="B3479" s="1200"/>
      <c r="C3479" s="1200"/>
      <c r="D3479" s="1200"/>
      <c r="E3479" s="1200"/>
      <c r="F3479" s="1200"/>
      <c r="G3479" s="1200"/>
      <c r="H3479" s="1200"/>
      <c r="I3479" s="1200"/>
      <c r="J3479" s="1200"/>
      <c r="K3479" s="1200"/>
      <c r="L3479" s="1201"/>
      <c r="M3479" s="50"/>
      <c r="N3479" s="50"/>
      <c r="O3479" s="5"/>
      <c r="Q3479" s="34"/>
      <c r="R3479" s="5"/>
      <c r="S3479" s="35"/>
      <c r="V3479" s="396"/>
      <c r="W3479" s="396"/>
    </row>
    <row r="3480" spans="1:23" ht="30" customHeight="1" x14ac:dyDescent="0.35">
      <c r="A3480" s="388" t="s">
        <v>1</v>
      </c>
      <c r="B3480" s="389">
        <v>7441</v>
      </c>
      <c r="C3480" s="1290" t="s">
        <v>1468</v>
      </c>
      <c r="D3480" s="1291"/>
      <c r="E3480" s="392" t="s">
        <v>3</v>
      </c>
      <c r="F3480" s="393" t="s">
        <v>108</v>
      </c>
      <c r="G3480" s="390" t="s">
        <v>38</v>
      </c>
      <c r="H3480" s="132">
        <v>16917</v>
      </c>
      <c r="I3480" s="401" t="s">
        <v>5</v>
      </c>
      <c r="J3480" s="1621" t="s">
        <v>2571</v>
      </c>
      <c r="K3480" s="1207"/>
      <c r="L3480" s="1208"/>
      <c r="M3480" s="96"/>
      <c r="N3480" s="50"/>
      <c r="O3480" s="5"/>
      <c r="Q3480" s="396"/>
      <c r="R3480" s="396"/>
      <c r="S3480" s="396"/>
      <c r="T3480" s="396"/>
      <c r="U3480" s="53"/>
    </row>
    <row r="3481" spans="1:23" ht="30" customHeight="1" x14ac:dyDescent="0.35">
      <c r="A3481" s="185" t="s">
        <v>177</v>
      </c>
      <c r="B3481" s="1272" t="s">
        <v>7</v>
      </c>
      <c r="C3481" s="1272"/>
      <c r="D3481" s="1272"/>
      <c r="E3481" s="397" t="s">
        <v>52</v>
      </c>
      <c r="F3481" s="185" t="s">
        <v>178</v>
      </c>
      <c r="G3481" s="1292" t="s">
        <v>54</v>
      </c>
      <c r="H3481" s="1293"/>
      <c r="I3481" s="1337" t="s">
        <v>945</v>
      </c>
      <c r="J3481" s="1337"/>
      <c r="K3481" s="494" t="s">
        <v>180</v>
      </c>
      <c r="L3481" s="494"/>
      <c r="M3481" s="96"/>
      <c r="O3481" s="5"/>
      <c r="U3481" s="10"/>
    </row>
    <row r="3482" spans="1:23" ht="30" customHeight="1" x14ac:dyDescent="0.35">
      <c r="A3482" s="186">
        <v>72412</v>
      </c>
      <c r="B3482" s="1212" t="s">
        <v>1469</v>
      </c>
      <c r="C3482" s="1213"/>
      <c r="D3482" s="1214"/>
      <c r="E3482" s="194">
        <v>377</v>
      </c>
      <c r="F3482" s="203">
        <v>51738</v>
      </c>
      <c r="G3482" s="525"/>
      <c r="H3482" s="401"/>
      <c r="I3482" s="1620">
        <f>+'FY2024 MILCON Inflation Table'!$F$19</f>
        <v>1.0438745311870332</v>
      </c>
      <c r="J3482" s="1620"/>
      <c r="K3482" s="189">
        <f>+E3482*I3482</f>
        <v>393.54069825751151</v>
      </c>
      <c r="L3482" s="401" t="s">
        <v>108</v>
      </c>
      <c r="M3482" s="50"/>
      <c r="N3482" s="50"/>
      <c r="O3482" s="5"/>
      <c r="P3482" s="9"/>
    </row>
    <row r="3483" spans="1:23" ht="30" customHeight="1" x14ac:dyDescent="0.35">
      <c r="A3483" s="186">
        <v>72412</v>
      </c>
      <c r="B3483" s="1212" t="s">
        <v>1470</v>
      </c>
      <c r="C3483" s="1213"/>
      <c r="D3483" s="1214"/>
      <c r="E3483" s="194">
        <v>305</v>
      </c>
      <c r="F3483" s="203">
        <v>28000</v>
      </c>
      <c r="G3483" s="525"/>
      <c r="H3483" s="401"/>
      <c r="I3483" s="1492">
        <f>+'FY2024 MILCON Inflation Table'!$F$15</f>
        <v>1.3402943931789864</v>
      </c>
      <c r="J3483" s="1493"/>
      <c r="K3483" s="189">
        <f>+E3483*I3483</f>
        <v>408.78978991959082</v>
      </c>
      <c r="L3483" s="401" t="s">
        <v>108</v>
      </c>
      <c r="M3483" s="50"/>
      <c r="N3483" s="50"/>
      <c r="O3483" s="5"/>
      <c r="P3483" s="9"/>
      <c r="Q3483" s="34"/>
      <c r="R3483" s="5"/>
      <c r="S3483" s="35"/>
    </row>
    <row r="3484" spans="1:23" ht="30" customHeight="1" x14ac:dyDescent="0.35">
      <c r="A3484" s="186"/>
      <c r="B3484" s="373"/>
      <c r="C3484" s="374"/>
      <c r="D3484" s="375"/>
      <c r="E3484" s="129"/>
      <c r="F3484" s="143"/>
      <c r="G3484" s="728"/>
      <c r="H3484" s="525"/>
      <c r="I3484" s="915"/>
      <c r="J3484" s="916" t="s">
        <v>192</v>
      </c>
      <c r="K3484" s="189">
        <f>AVERAGE(K3482:K3483)</f>
        <v>401.16524408855116</v>
      </c>
      <c r="L3484" s="401" t="s">
        <v>108</v>
      </c>
      <c r="M3484" s="50"/>
      <c r="N3484" s="50"/>
      <c r="O3484" s="5"/>
      <c r="P3484" s="9"/>
      <c r="Q3484" s="34"/>
      <c r="R3484" s="5"/>
      <c r="S3484" s="35"/>
    </row>
    <row r="3485" spans="1:23" ht="30" customHeight="1" thickBot="1" x14ac:dyDescent="0.4">
      <c r="A3485" s="186"/>
      <c r="B3485" s="1202"/>
      <c r="C3485" s="1203"/>
      <c r="D3485" s="1204"/>
      <c r="E3485" s="520"/>
      <c r="F3485" s="784"/>
      <c r="G3485" s="520"/>
      <c r="H3485" s="750"/>
      <c r="I3485" s="503"/>
      <c r="J3485" s="186" t="s">
        <v>37</v>
      </c>
      <c r="K3485" s="190">
        <f>+K3484</f>
        <v>401.16524408855116</v>
      </c>
      <c r="L3485" s="401" t="s">
        <v>108</v>
      </c>
      <c r="M3485" s="50"/>
      <c r="N3485" s="50"/>
      <c r="O3485" s="5"/>
      <c r="P3485" s="9"/>
      <c r="Q3485" s="34"/>
      <c r="R3485" s="5"/>
      <c r="S3485" s="35"/>
    </row>
    <row r="3486" spans="1:23" ht="30" customHeight="1" thickBot="1" x14ac:dyDescent="0.4">
      <c r="A3486" s="1199"/>
      <c r="B3486" s="1200"/>
      <c r="C3486" s="1200"/>
      <c r="D3486" s="1200"/>
      <c r="E3486" s="1200"/>
      <c r="F3486" s="1200"/>
      <c r="G3486" s="1200"/>
      <c r="H3486" s="1200"/>
      <c r="I3486" s="1200"/>
      <c r="J3486" s="1200"/>
      <c r="K3486" s="1200"/>
      <c r="L3486" s="1201"/>
      <c r="M3486" s="50"/>
      <c r="N3486" s="50"/>
      <c r="O3486" s="572"/>
      <c r="P3486" s="9"/>
      <c r="Q3486" s="34"/>
      <c r="R3486" s="5"/>
      <c r="S3486" s="35"/>
    </row>
    <row r="3487" spans="1:23" ht="30" customHeight="1" x14ac:dyDescent="0.35">
      <c r="A3487" s="388" t="s">
        <v>1</v>
      </c>
      <c r="B3487" s="389">
        <v>7442</v>
      </c>
      <c r="C3487" s="1205" t="s">
        <v>1471</v>
      </c>
      <c r="D3487" s="1206"/>
      <c r="E3487" s="392" t="s">
        <v>3</v>
      </c>
      <c r="F3487" s="393" t="s">
        <v>108</v>
      </c>
      <c r="G3487" s="390" t="s">
        <v>38</v>
      </c>
      <c r="H3487" s="132">
        <v>3423.8619273927302</v>
      </c>
      <c r="I3487" s="392" t="s">
        <v>5</v>
      </c>
      <c r="J3487" s="1207" t="s">
        <v>2481</v>
      </c>
      <c r="K3487" s="1207"/>
      <c r="L3487" s="1208"/>
      <c r="M3487" s="165"/>
      <c r="N3487" s="50"/>
      <c r="P3487" s="9"/>
      <c r="Q3487" s="34"/>
      <c r="R3487" s="5"/>
      <c r="S3487" s="35"/>
    </row>
    <row r="3488" spans="1:23" ht="30" customHeight="1" x14ac:dyDescent="0.35">
      <c r="A3488" s="494" t="s">
        <v>187</v>
      </c>
      <c r="B3488" s="1280" t="s">
        <v>211</v>
      </c>
      <c r="C3488" s="1281"/>
      <c r="D3488" s="1282"/>
      <c r="E3488" s="566" t="s">
        <v>52</v>
      </c>
      <c r="F3488" s="566" t="s">
        <v>53</v>
      </c>
      <c r="G3488" s="1219" t="s">
        <v>54</v>
      </c>
      <c r="H3488" s="1220"/>
      <c r="I3488" s="185" t="s">
        <v>1051</v>
      </c>
      <c r="J3488" s="185" t="s">
        <v>188</v>
      </c>
      <c r="K3488" s="399" t="s">
        <v>180</v>
      </c>
      <c r="L3488" s="400"/>
      <c r="M3488" s="165"/>
      <c r="N3488" s="50"/>
      <c r="P3488" s="9"/>
      <c r="Q3488" s="34"/>
      <c r="R3488" s="5"/>
      <c r="S3488" s="35"/>
    </row>
    <row r="3489" spans="1:19" ht="30" customHeight="1" x14ac:dyDescent="0.35">
      <c r="A3489" s="790" t="s">
        <v>2524</v>
      </c>
      <c r="B3489" s="1211" t="s">
        <v>2525</v>
      </c>
      <c r="C3489" s="1211"/>
      <c r="D3489" s="1211"/>
      <c r="E3489" s="194">
        <v>147</v>
      </c>
      <c r="F3489" s="186" t="s">
        <v>108</v>
      </c>
      <c r="G3489" s="186"/>
      <c r="H3489" s="186"/>
      <c r="I3489" s="278"/>
      <c r="J3489" s="186">
        <v>1.01</v>
      </c>
      <c r="K3489" s="194">
        <f>+E3489*J3489</f>
        <v>148.47</v>
      </c>
      <c r="L3489" s="186" t="s">
        <v>108</v>
      </c>
      <c r="M3489" s="50"/>
    </row>
    <row r="3490" spans="1:19" ht="30" customHeight="1" x14ac:dyDescent="0.35">
      <c r="A3490" s="790" t="s">
        <v>1320</v>
      </c>
      <c r="B3490" s="1211" t="s">
        <v>1295</v>
      </c>
      <c r="C3490" s="1211"/>
      <c r="D3490" s="1211"/>
      <c r="E3490" s="194">
        <v>5.28</v>
      </c>
      <c r="F3490" s="186" t="s">
        <v>108</v>
      </c>
      <c r="G3490" s="186"/>
      <c r="H3490" s="186"/>
      <c r="I3490" s="1044"/>
      <c r="J3490" s="186">
        <v>1.01</v>
      </c>
      <c r="K3490" s="194">
        <f>+E3490*J3490</f>
        <v>5.3328000000000007</v>
      </c>
      <c r="L3490" s="186" t="s">
        <v>108</v>
      </c>
      <c r="M3490" s="50"/>
      <c r="N3490" s="50"/>
      <c r="P3490" s="9"/>
      <c r="Q3490" s="34"/>
      <c r="R3490" s="5"/>
      <c r="S3490" s="35"/>
    </row>
    <row r="3491" spans="1:19" ht="30" customHeight="1" x14ac:dyDescent="0.35">
      <c r="A3491" s="1041"/>
      <c r="B3491" s="1494"/>
      <c r="C3491" s="1495"/>
      <c r="D3491" s="1496"/>
      <c r="E3491" s="1037"/>
      <c r="F3491" s="1041"/>
      <c r="G3491" s="1041"/>
      <c r="H3491" s="1041"/>
      <c r="I3491" s="1041"/>
      <c r="J3491" s="1041" t="s">
        <v>223</v>
      </c>
      <c r="K3491" s="1037">
        <f>SUM(K3489:K3490)</f>
        <v>153.80279999999999</v>
      </c>
      <c r="L3491" s="1041" t="s">
        <v>108</v>
      </c>
      <c r="M3491" s="50"/>
      <c r="N3491" s="50"/>
      <c r="P3491" s="9"/>
      <c r="Q3491" s="34"/>
      <c r="R3491" s="5"/>
      <c r="S3491" s="35"/>
    </row>
    <row r="3492" spans="1:19" ht="30" customHeight="1" x14ac:dyDescent="0.35">
      <c r="A3492" s="186"/>
      <c r="B3492" s="567"/>
      <c r="C3492" s="567"/>
      <c r="D3492" s="567"/>
      <c r="E3492" s="194"/>
      <c r="F3492" s="1215" t="s">
        <v>195</v>
      </c>
      <c r="G3492" s="1273" t="s">
        <v>196</v>
      </c>
      <c r="H3492" s="1273"/>
      <c r="I3492" s="1273"/>
      <c r="J3492" s="1273"/>
      <c r="K3492" s="196">
        <v>1.06</v>
      </c>
      <c r="L3492" s="186"/>
      <c r="M3492" s="50"/>
      <c r="N3492" s="50"/>
      <c r="O3492" s="5"/>
      <c r="P3492" s="9"/>
      <c r="Q3492" s="34"/>
      <c r="R3492" s="5"/>
      <c r="S3492" s="35"/>
    </row>
    <row r="3493" spans="1:19" ht="30" customHeight="1" x14ac:dyDescent="0.35">
      <c r="A3493" s="186"/>
      <c r="B3493" s="567"/>
      <c r="C3493" s="567"/>
      <c r="D3493" s="567"/>
      <c r="E3493" s="194"/>
      <c r="F3493" s="1216"/>
      <c r="G3493" s="1268" t="s">
        <v>2477</v>
      </c>
      <c r="H3493" s="1268"/>
      <c r="I3493" s="1268"/>
      <c r="J3493" s="1268"/>
      <c r="K3493" s="196">
        <v>1.05</v>
      </c>
      <c r="L3493" s="186"/>
      <c r="M3493" s="50"/>
      <c r="N3493" s="50"/>
      <c r="O3493" s="5"/>
      <c r="P3493" s="9"/>
      <c r="Q3493" s="34"/>
      <c r="R3493" s="5"/>
      <c r="S3493" s="35"/>
    </row>
    <row r="3494" spans="1:19" ht="30" customHeight="1" x14ac:dyDescent="0.35">
      <c r="A3494" s="186"/>
      <c r="B3494" s="186"/>
      <c r="C3494" s="503"/>
      <c r="D3494" s="503"/>
      <c r="E3494" s="503"/>
      <c r="F3494" s="503"/>
      <c r="G3494" s="503"/>
      <c r="H3494" s="503"/>
      <c r="I3494" s="503"/>
      <c r="J3494" s="186" t="s">
        <v>37</v>
      </c>
      <c r="K3494" s="193">
        <f>+K3491*K3492/K3493</f>
        <v>155.26758857142858</v>
      </c>
      <c r="L3494" s="186" t="s">
        <v>108</v>
      </c>
      <c r="M3494" s="50"/>
      <c r="N3494" s="50"/>
      <c r="O3494" s="5"/>
      <c r="P3494" s="9"/>
      <c r="Q3494" s="34"/>
      <c r="R3494" s="5"/>
      <c r="S3494" s="35"/>
    </row>
    <row r="3495" spans="1:19" ht="30" customHeight="1" x14ac:dyDescent="0.35">
      <c r="A3495" s="186"/>
      <c r="B3495" s="186"/>
      <c r="C3495" s="503"/>
      <c r="D3495" s="503"/>
      <c r="E3495" s="503"/>
      <c r="F3495" s="503"/>
      <c r="G3495" s="1198" t="s">
        <v>257</v>
      </c>
      <c r="H3495" s="1198"/>
      <c r="I3495" s="1198"/>
      <c r="J3495" s="560">
        <f>VLOOKUP(B3487,'Mil Cost Premiums for PUCs'!$A$4:$R$285,18,FALSE)</f>
        <v>1.12897214704308</v>
      </c>
      <c r="K3495" s="193">
        <f>+K3494*J3495</f>
        <v>175.29278283568732</v>
      </c>
      <c r="L3495" s="186" t="s">
        <v>108</v>
      </c>
      <c r="M3495" s="96"/>
      <c r="N3495" s="50"/>
      <c r="O3495" s="5"/>
      <c r="P3495" s="9"/>
      <c r="Q3495" s="34"/>
      <c r="R3495" s="5"/>
      <c r="S3495" s="35"/>
    </row>
    <row r="3496" spans="1:19" ht="30" customHeight="1" thickBot="1" x14ac:dyDescent="0.4">
      <c r="A3496" s="186"/>
      <c r="B3496" s="186"/>
      <c r="C3496" s="503"/>
      <c r="D3496" s="503"/>
      <c r="E3496" s="503"/>
      <c r="F3496" s="503"/>
      <c r="G3496" s="1309" t="s">
        <v>3000</v>
      </c>
      <c r="H3496" s="1310"/>
      <c r="I3496" s="1311"/>
      <c r="J3496" s="560">
        <v>1.0438745311870361</v>
      </c>
      <c r="K3496" s="193">
        <f>+K3495*J3496</f>
        <v>182.98367150307402</v>
      </c>
      <c r="L3496" s="186" t="s">
        <v>108</v>
      </c>
      <c r="M3496" s="96"/>
      <c r="N3496" s="50"/>
      <c r="O3496" s="5"/>
      <c r="P3496" s="9"/>
      <c r="Q3496" s="34"/>
      <c r="R3496" s="5"/>
      <c r="S3496" s="35"/>
    </row>
    <row r="3497" spans="1:19" ht="30" customHeight="1" thickBot="1" x14ac:dyDescent="0.4">
      <c r="A3497" s="1199"/>
      <c r="B3497" s="1200"/>
      <c r="C3497" s="1200"/>
      <c r="D3497" s="1200"/>
      <c r="E3497" s="1200"/>
      <c r="F3497" s="1200"/>
      <c r="G3497" s="1200"/>
      <c r="H3497" s="1200"/>
      <c r="I3497" s="1200"/>
      <c r="J3497" s="1200"/>
      <c r="K3497" s="1200"/>
      <c r="L3497" s="1201"/>
      <c r="M3497" s="50"/>
      <c r="O3497" s="5"/>
      <c r="P3497" s="9"/>
      <c r="Q3497" s="34"/>
      <c r="R3497" s="5"/>
      <c r="S3497" s="35"/>
    </row>
    <row r="3498" spans="1:19" ht="30" customHeight="1" x14ac:dyDescent="0.35">
      <c r="A3498" s="388" t="s">
        <v>1</v>
      </c>
      <c r="B3498" s="389">
        <v>7443</v>
      </c>
      <c r="C3498" s="1290" t="s">
        <v>1472</v>
      </c>
      <c r="D3498" s="1291"/>
      <c r="E3498" s="392" t="s">
        <v>3</v>
      </c>
      <c r="F3498" s="393" t="s">
        <v>108</v>
      </c>
      <c r="G3498" s="390" t="s">
        <v>38</v>
      </c>
      <c r="H3498" s="132">
        <v>1875</v>
      </c>
      <c r="I3498" s="392" t="s">
        <v>5</v>
      </c>
      <c r="J3498" s="1207" t="s">
        <v>2874</v>
      </c>
      <c r="K3498" s="1207"/>
      <c r="L3498" s="1208"/>
      <c r="M3498" s="50"/>
      <c r="N3498" s="50"/>
      <c r="O3498" s="5"/>
      <c r="P3498" s="9"/>
      <c r="Q3498" s="34"/>
      <c r="R3498" s="5"/>
      <c r="S3498" s="35"/>
    </row>
    <row r="3499" spans="1:19" ht="30" customHeight="1" x14ac:dyDescent="0.35">
      <c r="A3499" s="494" t="s">
        <v>187</v>
      </c>
      <c r="B3499" s="1280" t="s">
        <v>211</v>
      </c>
      <c r="C3499" s="1281"/>
      <c r="D3499" s="1282"/>
      <c r="E3499" s="566" t="s">
        <v>52</v>
      </c>
      <c r="F3499" s="566" t="s">
        <v>53</v>
      </c>
      <c r="G3499" s="1219" t="s">
        <v>54</v>
      </c>
      <c r="H3499" s="1220"/>
      <c r="I3499" s="185" t="s">
        <v>188</v>
      </c>
      <c r="J3499" s="185"/>
      <c r="K3499" s="399" t="s">
        <v>180</v>
      </c>
      <c r="L3499" s="400"/>
      <c r="M3499" s="50"/>
      <c r="N3499" s="50"/>
      <c r="O3499" s="5"/>
      <c r="P3499" s="9"/>
      <c r="Q3499" s="34"/>
      <c r="R3499" s="5"/>
      <c r="S3499" s="35"/>
    </row>
    <row r="3500" spans="1:19" ht="30" customHeight="1" x14ac:dyDescent="0.35">
      <c r="A3500" s="790" t="s">
        <v>1257</v>
      </c>
      <c r="B3500" s="1202" t="s">
        <v>1258</v>
      </c>
      <c r="C3500" s="1203"/>
      <c r="D3500" s="1204"/>
      <c r="E3500" s="194">
        <v>36.5</v>
      </c>
      <c r="F3500" s="422" t="s">
        <v>108</v>
      </c>
      <c r="G3500" s="1058"/>
      <c r="H3500" s="1059"/>
      <c r="I3500" s="204">
        <v>1.03</v>
      </c>
      <c r="J3500" s="186"/>
      <c r="K3500" s="194">
        <f>+E3500*I3500</f>
        <v>37.594999999999999</v>
      </c>
      <c r="L3500" s="186" t="s">
        <v>108</v>
      </c>
      <c r="M3500" s="50"/>
      <c r="N3500" s="50"/>
      <c r="O3500" s="5"/>
      <c r="P3500" s="9"/>
      <c r="Q3500" s="34"/>
      <c r="R3500" s="5"/>
      <c r="S3500" s="35"/>
    </row>
    <row r="3501" spans="1:19" ht="30" customHeight="1" x14ac:dyDescent="0.35">
      <c r="A3501" s="186"/>
      <c r="B3501" s="567"/>
      <c r="C3501" s="567"/>
      <c r="D3501" s="567"/>
      <c r="E3501" s="194"/>
      <c r="F3501" s="1215" t="s">
        <v>195</v>
      </c>
      <c r="G3501" s="1273" t="s">
        <v>196</v>
      </c>
      <c r="H3501" s="1273"/>
      <c r="I3501" s="1273"/>
      <c r="J3501" s="1273"/>
      <c r="K3501" s="196">
        <v>1.05</v>
      </c>
      <c r="L3501" s="186"/>
      <c r="M3501" s="50"/>
      <c r="N3501" s="96"/>
      <c r="O3501" s="5"/>
      <c r="P3501" s="9"/>
      <c r="Q3501" s="34"/>
      <c r="R3501" s="5"/>
      <c r="S3501" s="35"/>
    </row>
    <row r="3502" spans="1:19" ht="30" customHeight="1" x14ac:dyDescent="0.35">
      <c r="A3502" s="186"/>
      <c r="B3502" s="567"/>
      <c r="C3502" s="567"/>
      <c r="D3502" s="567"/>
      <c r="E3502" s="194"/>
      <c r="F3502" s="1216"/>
      <c r="G3502" s="1268" t="s">
        <v>2875</v>
      </c>
      <c r="H3502" s="1268"/>
      <c r="I3502" s="1268"/>
      <c r="J3502" s="1268"/>
      <c r="K3502" s="196">
        <v>1.07</v>
      </c>
      <c r="L3502" s="186"/>
      <c r="M3502" s="724"/>
      <c r="N3502" s="50"/>
      <c r="O3502" s="5"/>
      <c r="P3502" s="9"/>
      <c r="Q3502" s="34"/>
      <c r="R3502" s="5"/>
      <c r="S3502" s="35"/>
    </row>
    <row r="3503" spans="1:19" ht="30" customHeight="1" x14ac:dyDescent="0.35">
      <c r="A3503" s="790"/>
      <c r="B3503" s="1202"/>
      <c r="C3503" s="1203"/>
      <c r="D3503" s="1204"/>
      <c r="E3503" s="194"/>
      <c r="F3503" s="707"/>
      <c r="G3503" s="127"/>
      <c r="H3503" s="136"/>
      <c r="I3503" s="186"/>
      <c r="J3503" s="186" t="s">
        <v>37</v>
      </c>
      <c r="K3503" s="193">
        <f>+K3500*K3501/K3502</f>
        <v>36.892289719626163</v>
      </c>
      <c r="L3503" s="186" t="s">
        <v>108</v>
      </c>
      <c r="M3503" s="50"/>
      <c r="N3503" s="50"/>
      <c r="O3503" s="5"/>
      <c r="P3503" s="9"/>
      <c r="Q3503" s="34"/>
      <c r="R3503" s="5"/>
      <c r="S3503" s="35"/>
    </row>
    <row r="3504" spans="1:19" ht="30" customHeight="1" thickBot="1" x14ac:dyDescent="0.4">
      <c r="A3504" s="186"/>
      <c r="B3504" s="186"/>
      <c r="C3504" s="503"/>
      <c r="D3504" s="503"/>
      <c r="E3504" s="503"/>
      <c r="F3504" s="503"/>
      <c r="G3504" s="1194" t="s">
        <v>257</v>
      </c>
      <c r="H3504" s="1195"/>
      <c r="I3504" s="1196"/>
      <c r="J3504" s="560">
        <f>VLOOKUP(B3498,'Mil Cost Premiums for PUCs'!$A$4:$R$285,18,FALSE)</f>
        <v>1.0590296311349996</v>
      </c>
      <c r="K3504" s="193">
        <f>+K3503*J3504</f>
        <v>39.070027973501233</v>
      </c>
      <c r="L3504" s="186" t="s">
        <v>108</v>
      </c>
      <c r="M3504" s="50"/>
      <c r="N3504" s="50"/>
      <c r="O3504" s="5"/>
      <c r="P3504" s="9"/>
      <c r="Q3504" s="34"/>
      <c r="R3504" s="5"/>
      <c r="S3504" s="35"/>
    </row>
    <row r="3505" spans="1:19" ht="30" customHeight="1" thickBot="1" x14ac:dyDescent="0.4">
      <c r="A3505" s="1199"/>
      <c r="B3505" s="1200"/>
      <c r="C3505" s="1200"/>
      <c r="D3505" s="1200"/>
      <c r="E3505" s="1200"/>
      <c r="F3505" s="1200"/>
      <c r="G3505" s="1200"/>
      <c r="H3505" s="1200"/>
      <c r="I3505" s="1200"/>
      <c r="J3505" s="1200"/>
      <c r="K3505" s="1200"/>
      <c r="L3505" s="1201"/>
      <c r="N3505" s="97"/>
      <c r="O3505" s="5"/>
      <c r="P3505" s="9"/>
      <c r="Q3505" s="34"/>
      <c r="R3505" s="5"/>
      <c r="S3505" s="35"/>
    </row>
    <row r="3506" spans="1:19" ht="30" customHeight="1" x14ac:dyDescent="0.35">
      <c r="A3506" s="388" t="s">
        <v>1</v>
      </c>
      <c r="B3506" s="389">
        <v>7444</v>
      </c>
      <c r="C3506" s="1205" t="s">
        <v>1473</v>
      </c>
      <c r="D3506" s="1206"/>
      <c r="E3506" s="392" t="s">
        <v>3</v>
      </c>
      <c r="F3506" s="393" t="s">
        <v>108</v>
      </c>
      <c r="G3506" s="390" t="s">
        <v>38</v>
      </c>
      <c r="H3506" s="132">
        <v>2504</v>
      </c>
      <c r="I3506" s="392" t="s">
        <v>5</v>
      </c>
      <c r="J3506" s="1207" t="s">
        <v>2874</v>
      </c>
      <c r="K3506" s="1207"/>
      <c r="L3506" s="1208"/>
      <c r="M3506" s="50"/>
      <c r="N3506" s="50"/>
      <c r="O3506" s="5"/>
      <c r="P3506" s="9"/>
      <c r="Q3506" s="34"/>
      <c r="R3506" s="5"/>
      <c r="S3506" s="35"/>
    </row>
    <row r="3507" spans="1:19" ht="30" customHeight="1" x14ac:dyDescent="0.35">
      <c r="A3507" s="494" t="s">
        <v>187</v>
      </c>
      <c r="B3507" s="1280" t="s">
        <v>211</v>
      </c>
      <c r="C3507" s="1281"/>
      <c r="D3507" s="1282"/>
      <c r="E3507" s="566" t="s">
        <v>52</v>
      </c>
      <c r="F3507" s="566" t="s">
        <v>53</v>
      </c>
      <c r="G3507" s="1219" t="s">
        <v>54</v>
      </c>
      <c r="H3507" s="1220"/>
      <c r="I3507" s="185" t="s">
        <v>188</v>
      </c>
      <c r="J3507" s="185"/>
      <c r="K3507" s="399" t="s">
        <v>180</v>
      </c>
      <c r="L3507" s="400"/>
      <c r="M3507" s="50"/>
      <c r="N3507" s="50"/>
      <c r="O3507" s="5"/>
      <c r="P3507" s="9"/>
      <c r="Q3507" s="34"/>
      <c r="R3507" s="5"/>
      <c r="S3507" s="35"/>
    </row>
    <row r="3508" spans="1:19" ht="30" customHeight="1" x14ac:dyDescent="0.35">
      <c r="A3508" s="790" t="s">
        <v>1474</v>
      </c>
      <c r="B3508" s="1211" t="s">
        <v>1475</v>
      </c>
      <c r="C3508" s="1211"/>
      <c r="D3508" s="1211"/>
      <c r="E3508" s="194">
        <v>48</v>
      </c>
      <c r="F3508" s="186" t="s">
        <v>108</v>
      </c>
      <c r="G3508" s="186"/>
      <c r="H3508" s="186"/>
      <c r="I3508" s="204">
        <v>1.03</v>
      </c>
      <c r="J3508" s="186"/>
      <c r="K3508" s="194">
        <f>+E3508*I3508</f>
        <v>49.44</v>
      </c>
      <c r="L3508" s="186" t="s">
        <v>108</v>
      </c>
      <c r="M3508" s="50"/>
      <c r="N3508" s="50"/>
      <c r="O3508" s="5"/>
      <c r="P3508" s="9"/>
      <c r="Q3508" s="34"/>
      <c r="R3508" s="5"/>
      <c r="S3508" s="35"/>
    </row>
    <row r="3509" spans="1:19" ht="30" customHeight="1" x14ac:dyDescent="0.35">
      <c r="A3509" s="186"/>
      <c r="B3509" s="567"/>
      <c r="C3509" s="567"/>
      <c r="D3509" s="567"/>
      <c r="E3509" s="194"/>
      <c r="F3509" s="1215" t="s">
        <v>195</v>
      </c>
      <c r="G3509" s="1273" t="s">
        <v>196</v>
      </c>
      <c r="H3509" s="1273"/>
      <c r="I3509" s="1273"/>
      <c r="J3509" s="1273"/>
      <c r="K3509" s="196">
        <v>1.05</v>
      </c>
      <c r="L3509" s="186"/>
      <c r="M3509" s="50"/>
      <c r="N3509" s="50"/>
      <c r="O3509" s="5"/>
      <c r="P3509" s="9"/>
      <c r="Q3509" s="34"/>
      <c r="R3509" s="5"/>
      <c r="S3509" s="35"/>
    </row>
    <row r="3510" spans="1:19" ht="30" customHeight="1" x14ac:dyDescent="0.35">
      <c r="A3510" s="186"/>
      <c r="B3510" s="567"/>
      <c r="C3510" s="567"/>
      <c r="D3510" s="567"/>
      <c r="E3510" s="194"/>
      <c r="F3510" s="1216"/>
      <c r="G3510" s="1268" t="s">
        <v>2875</v>
      </c>
      <c r="H3510" s="1268"/>
      <c r="I3510" s="1268"/>
      <c r="J3510" s="1268"/>
      <c r="K3510" s="196">
        <v>1.07</v>
      </c>
      <c r="L3510" s="186"/>
      <c r="M3510" s="50"/>
      <c r="N3510" s="50"/>
      <c r="O3510" s="5"/>
      <c r="P3510" s="9"/>
      <c r="Q3510" s="34"/>
      <c r="R3510" s="5"/>
      <c r="S3510" s="35"/>
    </row>
    <row r="3511" spans="1:19" ht="30" customHeight="1" x14ac:dyDescent="0.35">
      <c r="A3511" s="186"/>
      <c r="B3511" s="186"/>
      <c r="C3511" s="503"/>
      <c r="D3511" s="503"/>
      <c r="E3511" s="503"/>
      <c r="F3511" s="503"/>
      <c r="G3511" s="503"/>
      <c r="H3511" s="503"/>
      <c r="I3511" s="503"/>
      <c r="J3511" s="186" t="s">
        <v>37</v>
      </c>
      <c r="K3511" s="193">
        <f>+K3508*K3509/K3510</f>
        <v>48.515887850467287</v>
      </c>
      <c r="L3511" s="186" t="s">
        <v>108</v>
      </c>
      <c r="M3511" s="50"/>
      <c r="N3511" s="50"/>
      <c r="O3511" s="5"/>
      <c r="P3511" s="9"/>
      <c r="Q3511" s="34"/>
      <c r="R3511" s="5"/>
      <c r="S3511" s="35"/>
    </row>
    <row r="3512" spans="1:19" ht="30" customHeight="1" thickBot="1" x14ac:dyDescent="0.4">
      <c r="A3512" s="186"/>
      <c r="B3512" s="186"/>
      <c r="C3512" s="503"/>
      <c r="D3512" s="503"/>
      <c r="E3512" s="503"/>
      <c r="F3512" s="503"/>
      <c r="G3512" s="1194" t="s">
        <v>257</v>
      </c>
      <c r="H3512" s="1195"/>
      <c r="I3512" s="1196"/>
      <c r="J3512" s="560">
        <f>VLOOKUP(B3506,'Mil Cost Premiums for PUCs'!$A$4:$R$285,18,FALSE)</f>
        <v>1.0209999999999999</v>
      </c>
      <c r="K3512" s="193">
        <f>+K3511*J3512</f>
        <v>49.534721495327098</v>
      </c>
      <c r="L3512" s="186" t="s">
        <v>108</v>
      </c>
      <c r="M3512" s="50"/>
      <c r="N3512" s="50"/>
      <c r="O3512" s="5"/>
      <c r="P3512" s="9"/>
      <c r="Q3512" s="34"/>
      <c r="R3512" s="5"/>
      <c r="S3512" s="35"/>
    </row>
    <row r="3513" spans="1:19" ht="30" customHeight="1" thickBot="1" x14ac:dyDescent="0.4">
      <c r="A3513" s="1199"/>
      <c r="B3513" s="1200"/>
      <c r="C3513" s="1200"/>
      <c r="D3513" s="1200"/>
      <c r="E3513" s="1200"/>
      <c r="F3513" s="1200"/>
      <c r="G3513" s="1200"/>
      <c r="H3513" s="1200"/>
      <c r="I3513" s="1200"/>
      <c r="J3513" s="1200"/>
      <c r="K3513" s="1200"/>
      <c r="L3513" s="1201"/>
      <c r="N3513" s="50"/>
      <c r="O3513" s="5"/>
      <c r="P3513" s="9"/>
      <c r="Q3513" s="34"/>
      <c r="R3513" s="5"/>
      <c r="S3513" s="35"/>
    </row>
    <row r="3514" spans="1:19" ht="30" customHeight="1" x14ac:dyDescent="0.35">
      <c r="A3514" s="388" t="s">
        <v>1</v>
      </c>
      <c r="B3514" s="389">
        <v>7445</v>
      </c>
      <c r="C3514" s="1205" t="s">
        <v>1476</v>
      </c>
      <c r="D3514" s="1206"/>
      <c r="E3514" s="392" t="s">
        <v>3</v>
      </c>
      <c r="F3514" s="393" t="s">
        <v>108</v>
      </c>
      <c r="G3514" s="390" t="s">
        <v>38</v>
      </c>
      <c r="H3514" s="146">
        <v>3094</v>
      </c>
      <c r="I3514" s="392" t="s">
        <v>5</v>
      </c>
      <c r="J3514" s="1207" t="s">
        <v>2874</v>
      </c>
      <c r="K3514" s="1207"/>
      <c r="L3514" s="1208"/>
      <c r="M3514" s="50"/>
      <c r="N3514" s="50"/>
      <c r="O3514" s="5"/>
      <c r="P3514" s="9"/>
      <c r="Q3514" s="34"/>
      <c r="R3514" s="5"/>
      <c r="S3514" s="35"/>
    </row>
    <row r="3515" spans="1:19" ht="30" customHeight="1" x14ac:dyDescent="0.35">
      <c r="A3515" s="494" t="s">
        <v>187</v>
      </c>
      <c r="B3515" s="1280" t="s">
        <v>211</v>
      </c>
      <c r="C3515" s="1281"/>
      <c r="D3515" s="1282"/>
      <c r="E3515" s="566" t="s">
        <v>52</v>
      </c>
      <c r="F3515" s="566" t="s">
        <v>53</v>
      </c>
      <c r="G3515" s="1219" t="s">
        <v>54</v>
      </c>
      <c r="H3515" s="1220"/>
      <c r="I3515" s="185" t="s">
        <v>188</v>
      </c>
      <c r="J3515" s="185"/>
      <c r="K3515" s="399" t="s">
        <v>180</v>
      </c>
      <c r="L3515" s="400"/>
      <c r="M3515" s="50"/>
      <c r="N3515" s="50"/>
      <c r="O3515" s="5"/>
      <c r="P3515" s="9"/>
      <c r="Q3515" s="34"/>
      <c r="R3515" s="5"/>
      <c r="S3515" s="35"/>
    </row>
    <row r="3516" spans="1:19" ht="30" customHeight="1" x14ac:dyDescent="0.35">
      <c r="A3516" s="790" t="s">
        <v>398</v>
      </c>
      <c r="B3516" s="1202" t="s">
        <v>1477</v>
      </c>
      <c r="C3516" s="1203"/>
      <c r="D3516" s="1204"/>
      <c r="E3516" s="194">
        <v>43.75</v>
      </c>
      <c r="F3516" s="422" t="s">
        <v>108</v>
      </c>
      <c r="G3516" s="1058"/>
      <c r="H3516" s="1059"/>
      <c r="I3516" s="204">
        <v>0.99</v>
      </c>
      <c r="J3516" s="186"/>
      <c r="K3516" s="194">
        <f>+E3516*I3516</f>
        <v>43.3125</v>
      </c>
      <c r="L3516" s="186" t="s">
        <v>108</v>
      </c>
      <c r="M3516" s="50"/>
      <c r="N3516" s="50"/>
      <c r="O3516" s="5"/>
      <c r="P3516" s="9"/>
      <c r="Q3516" s="34"/>
      <c r="R3516" s="5"/>
      <c r="S3516" s="35"/>
    </row>
    <row r="3517" spans="1:19" ht="30" customHeight="1" x14ac:dyDescent="0.35">
      <c r="A3517" s="186"/>
      <c r="B3517" s="567"/>
      <c r="C3517" s="567"/>
      <c r="D3517" s="567"/>
      <c r="E3517" s="194"/>
      <c r="F3517" s="1215" t="s">
        <v>195</v>
      </c>
      <c r="G3517" s="1273" t="s">
        <v>196</v>
      </c>
      <c r="H3517" s="1273"/>
      <c r="I3517" s="1273"/>
      <c r="J3517" s="1273"/>
      <c r="K3517" s="196">
        <v>1.02</v>
      </c>
      <c r="L3517" s="186"/>
      <c r="M3517" s="50"/>
      <c r="N3517" s="50"/>
      <c r="O3517" s="5"/>
      <c r="P3517" s="9"/>
      <c r="Q3517" s="34"/>
      <c r="R3517" s="5"/>
      <c r="S3517" s="35"/>
    </row>
    <row r="3518" spans="1:19" ht="30" customHeight="1" x14ac:dyDescent="0.35">
      <c r="A3518" s="186"/>
      <c r="B3518" s="567"/>
      <c r="C3518" s="567"/>
      <c r="D3518" s="567"/>
      <c r="E3518" s="194"/>
      <c r="F3518" s="1216"/>
      <c r="G3518" s="1268" t="s">
        <v>2875</v>
      </c>
      <c r="H3518" s="1268"/>
      <c r="I3518" s="1268"/>
      <c r="J3518" s="1268"/>
      <c r="K3518" s="196">
        <v>1.07</v>
      </c>
      <c r="L3518" s="186"/>
      <c r="M3518" s="50"/>
      <c r="N3518" s="50"/>
      <c r="O3518" s="5"/>
      <c r="P3518" s="9"/>
      <c r="Q3518" s="34"/>
      <c r="R3518" s="5"/>
      <c r="S3518" s="35"/>
    </row>
    <row r="3519" spans="1:19" ht="30" customHeight="1" x14ac:dyDescent="0.35">
      <c r="A3519" s="186"/>
      <c r="B3519" s="186"/>
      <c r="C3519" s="503"/>
      <c r="D3519" s="503"/>
      <c r="E3519" s="503"/>
      <c r="F3519" s="503"/>
      <c r="G3519" s="503"/>
      <c r="H3519" s="503"/>
      <c r="I3519" s="503"/>
      <c r="J3519" s="186" t="s">
        <v>37</v>
      </c>
      <c r="K3519" s="193">
        <f>+K3516*K3517/K3518</f>
        <v>41.288551401869157</v>
      </c>
      <c r="L3519" s="186" t="s">
        <v>108</v>
      </c>
      <c r="M3519" s="50"/>
      <c r="N3519" s="50"/>
      <c r="O3519" s="5"/>
      <c r="P3519" s="9"/>
      <c r="Q3519" s="34"/>
      <c r="R3519" s="5"/>
      <c r="S3519" s="35"/>
    </row>
    <row r="3520" spans="1:19" ht="30" customHeight="1" thickBot="1" x14ac:dyDescent="0.4">
      <c r="A3520" s="186"/>
      <c r="B3520" s="186"/>
      <c r="C3520" s="503"/>
      <c r="D3520" s="503"/>
      <c r="E3520" s="503"/>
      <c r="F3520" s="503"/>
      <c r="G3520" s="1194" t="s">
        <v>257</v>
      </c>
      <c r="H3520" s="1195"/>
      <c r="I3520" s="1196"/>
      <c r="J3520" s="560">
        <f>VLOOKUP(B3514,'Mil Cost Premiums for PUCs'!$A$4:$R$285,18,FALSE)</f>
        <v>1.0209999999999999</v>
      </c>
      <c r="K3520" s="193">
        <f>+K3519*J3520</f>
        <v>42.155610981308406</v>
      </c>
      <c r="L3520" s="186" t="s">
        <v>108</v>
      </c>
      <c r="M3520" s="50"/>
      <c r="N3520" s="50"/>
      <c r="O3520" s="5"/>
      <c r="P3520" s="9"/>
      <c r="Q3520" s="34"/>
      <c r="R3520" s="5"/>
      <c r="S3520" s="35"/>
    </row>
    <row r="3521" spans="1:19" ht="30" customHeight="1" thickBot="1" x14ac:dyDescent="0.4">
      <c r="A3521" s="1199"/>
      <c r="B3521" s="1200"/>
      <c r="C3521" s="1200"/>
      <c r="D3521" s="1200"/>
      <c r="E3521" s="1200"/>
      <c r="F3521" s="1200"/>
      <c r="G3521" s="1200"/>
      <c r="H3521" s="1200"/>
      <c r="I3521" s="1200"/>
      <c r="J3521" s="1200"/>
      <c r="K3521" s="1200"/>
      <c r="L3521" s="1201"/>
      <c r="N3521" s="50"/>
      <c r="O3521" s="5"/>
      <c r="P3521" s="9"/>
      <c r="Q3521" s="34"/>
      <c r="R3521" s="5"/>
      <c r="S3521" s="35"/>
    </row>
    <row r="3522" spans="1:19" ht="30" customHeight="1" x14ac:dyDescent="0.35">
      <c r="A3522" s="388" t="s">
        <v>1</v>
      </c>
      <c r="B3522" s="389">
        <v>7446</v>
      </c>
      <c r="C3522" s="1205" t="s">
        <v>1478</v>
      </c>
      <c r="D3522" s="1206"/>
      <c r="E3522" s="392" t="s">
        <v>3</v>
      </c>
      <c r="F3522" s="393" t="s">
        <v>108</v>
      </c>
      <c r="G3522" s="390" t="s">
        <v>38</v>
      </c>
      <c r="H3522" s="148">
        <v>3309</v>
      </c>
      <c r="I3522" s="392" t="s">
        <v>5</v>
      </c>
      <c r="J3522" s="1207" t="s">
        <v>2874</v>
      </c>
      <c r="K3522" s="1207"/>
      <c r="L3522" s="1208"/>
      <c r="M3522" s="50"/>
      <c r="N3522" s="50"/>
      <c r="O3522" s="5"/>
      <c r="P3522" s="9"/>
      <c r="Q3522" s="34"/>
      <c r="R3522" s="5"/>
      <c r="S3522" s="35"/>
    </row>
    <row r="3523" spans="1:19" ht="30" customHeight="1" x14ac:dyDescent="0.35">
      <c r="A3523" s="494" t="s">
        <v>187</v>
      </c>
      <c r="B3523" s="1280" t="s">
        <v>211</v>
      </c>
      <c r="C3523" s="1281"/>
      <c r="D3523" s="1282"/>
      <c r="E3523" s="566" t="s">
        <v>52</v>
      </c>
      <c r="F3523" s="566" t="s">
        <v>53</v>
      </c>
      <c r="G3523" s="1219" t="s">
        <v>54</v>
      </c>
      <c r="H3523" s="1220"/>
      <c r="I3523" s="185" t="s">
        <v>188</v>
      </c>
      <c r="J3523" s="185"/>
      <c r="K3523" s="399" t="s">
        <v>180</v>
      </c>
      <c r="L3523" s="400"/>
      <c r="M3523" s="50"/>
      <c r="N3523" s="50"/>
      <c r="O3523" s="5"/>
      <c r="P3523" s="9"/>
      <c r="Q3523" s="34"/>
      <c r="R3523" s="5"/>
      <c r="S3523" s="35"/>
    </row>
    <row r="3524" spans="1:19" ht="30" customHeight="1" x14ac:dyDescent="0.35">
      <c r="A3524" s="790" t="s">
        <v>1403</v>
      </c>
      <c r="B3524" s="1202" t="s">
        <v>1404</v>
      </c>
      <c r="C3524" s="1203"/>
      <c r="D3524" s="1204"/>
      <c r="E3524" s="194">
        <v>155</v>
      </c>
      <c r="F3524" s="422" t="s">
        <v>108</v>
      </c>
      <c r="G3524" s="503"/>
      <c r="H3524" s="503"/>
      <c r="I3524" s="186">
        <v>1.0900000000000001</v>
      </c>
      <c r="J3524" s="186"/>
      <c r="K3524" s="194">
        <f>+E3524*I3524</f>
        <v>168.95000000000002</v>
      </c>
      <c r="L3524" s="186" t="s">
        <v>108</v>
      </c>
      <c r="M3524" s="50"/>
      <c r="N3524" s="50"/>
      <c r="O3524" s="5"/>
      <c r="P3524" s="9"/>
      <c r="Q3524" s="34"/>
      <c r="R3524" s="5"/>
      <c r="S3524" s="35"/>
    </row>
    <row r="3525" spans="1:19" ht="30" customHeight="1" x14ac:dyDescent="0.35">
      <c r="A3525" s="790" t="s">
        <v>285</v>
      </c>
      <c r="B3525" s="1211" t="s">
        <v>1479</v>
      </c>
      <c r="C3525" s="1211"/>
      <c r="D3525" s="1211"/>
      <c r="E3525" s="194">
        <v>5.91</v>
      </c>
      <c r="F3525" s="422" t="s">
        <v>108</v>
      </c>
      <c r="G3525" s="503"/>
      <c r="H3525" s="503"/>
      <c r="I3525" s="186">
        <v>1.0900000000000001</v>
      </c>
      <c r="J3525" s="186"/>
      <c r="K3525" s="194">
        <f>+E3525*I3525</f>
        <v>6.4419000000000004</v>
      </c>
      <c r="L3525" s="186" t="s">
        <v>108</v>
      </c>
      <c r="M3525" s="96"/>
      <c r="N3525" s="50"/>
      <c r="O3525" s="5"/>
      <c r="P3525" s="9"/>
      <c r="Q3525" s="34"/>
      <c r="R3525" s="5"/>
      <c r="S3525" s="35"/>
    </row>
    <row r="3526" spans="1:19" ht="30" customHeight="1" x14ac:dyDescent="0.35">
      <c r="A3526" s="1041"/>
      <c r="B3526" s="1494"/>
      <c r="C3526" s="1495"/>
      <c r="D3526" s="1496"/>
      <c r="E3526" s="1037"/>
      <c r="F3526" s="1041"/>
      <c r="G3526" s="1041"/>
      <c r="H3526" s="1041"/>
      <c r="I3526" s="1041"/>
      <c r="J3526" s="1041" t="s">
        <v>223</v>
      </c>
      <c r="K3526" s="1037">
        <f>SUM(K3524:K3525)</f>
        <v>175.39190000000002</v>
      </c>
      <c r="L3526" s="1041" t="s">
        <v>108</v>
      </c>
      <c r="M3526" s="50"/>
      <c r="N3526" s="50"/>
      <c r="O3526" s="5"/>
      <c r="P3526" s="9"/>
      <c r="Q3526" s="34"/>
      <c r="R3526" s="5"/>
      <c r="S3526" s="35"/>
    </row>
    <row r="3527" spans="1:19" ht="30" customHeight="1" x14ac:dyDescent="0.35">
      <c r="A3527" s="186"/>
      <c r="B3527" s="567"/>
      <c r="C3527" s="567"/>
      <c r="D3527" s="567"/>
      <c r="E3527" s="194"/>
      <c r="F3527" s="1215" t="s">
        <v>195</v>
      </c>
      <c r="G3527" s="1273" t="s">
        <v>196</v>
      </c>
      <c r="H3527" s="1273"/>
      <c r="I3527" s="1273"/>
      <c r="J3527" s="1273"/>
      <c r="K3527" s="196">
        <v>1.05</v>
      </c>
      <c r="L3527" s="186"/>
      <c r="M3527" s="50"/>
      <c r="N3527" s="50"/>
      <c r="O3527" s="5"/>
      <c r="P3527" s="9"/>
      <c r="Q3527" s="34"/>
      <c r="R3527" s="5"/>
      <c r="S3527" s="35"/>
    </row>
    <row r="3528" spans="1:19" ht="30" customHeight="1" x14ac:dyDescent="0.35">
      <c r="A3528" s="186"/>
      <c r="B3528" s="567"/>
      <c r="C3528" s="567"/>
      <c r="D3528" s="567"/>
      <c r="E3528" s="194"/>
      <c r="F3528" s="1216"/>
      <c r="G3528" s="1268" t="s">
        <v>2875</v>
      </c>
      <c r="H3528" s="1268"/>
      <c r="I3528" s="1268"/>
      <c r="J3528" s="1268"/>
      <c r="K3528" s="196">
        <v>1.07</v>
      </c>
      <c r="L3528" s="186"/>
      <c r="M3528" s="50"/>
      <c r="N3528" s="50"/>
      <c r="O3528" s="5"/>
      <c r="P3528" s="9"/>
      <c r="Q3528" s="34"/>
      <c r="R3528" s="5"/>
      <c r="S3528" s="35"/>
    </row>
    <row r="3529" spans="1:19" ht="30" customHeight="1" x14ac:dyDescent="0.35">
      <c r="A3529" s="186"/>
      <c r="B3529" s="186"/>
      <c r="C3529" s="503"/>
      <c r="D3529" s="503"/>
      <c r="E3529" s="503"/>
      <c r="F3529" s="503"/>
      <c r="G3529" s="503"/>
      <c r="H3529" s="503"/>
      <c r="I3529" s="503"/>
      <c r="J3529" s="186" t="s">
        <v>37</v>
      </c>
      <c r="K3529" s="193">
        <f>+K3526*K3527/K3528</f>
        <v>172.11354672897198</v>
      </c>
      <c r="L3529" s="186" t="s">
        <v>108</v>
      </c>
      <c r="M3529" s="50"/>
      <c r="N3529" s="50"/>
      <c r="O3529" s="5"/>
      <c r="P3529" s="9"/>
      <c r="Q3529" s="34"/>
      <c r="R3529" s="5"/>
      <c r="S3529" s="35"/>
    </row>
    <row r="3530" spans="1:19" ht="30" customHeight="1" thickBot="1" x14ac:dyDescent="0.4">
      <c r="A3530" s="186"/>
      <c r="B3530" s="186"/>
      <c r="C3530" s="503"/>
      <c r="D3530" s="503"/>
      <c r="E3530" s="503"/>
      <c r="F3530" s="503"/>
      <c r="G3530" s="1194" t="s">
        <v>257</v>
      </c>
      <c r="H3530" s="1195"/>
      <c r="I3530" s="1196"/>
      <c r="J3530" s="560">
        <f>VLOOKUP(B3522,'Mil Cost Premiums for PUCs'!$A$4:$R$285,18,FALSE)</f>
        <v>1.0209999999999999</v>
      </c>
      <c r="K3530" s="193">
        <f>+K3529*J3530</f>
        <v>175.72793121028039</v>
      </c>
      <c r="L3530" s="186" t="s">
        <v>108</v>
      </c>
      <c r="M3530" s="50"/>
      <c r="N3530" s="50"/>
      <c r="O3530" s="5"/>
      <c r="P3530" s="9"/>
      <c r="Q3530" s="34"/>
      <c r="R3530" s="5"/>
      <c r="S3530" s="35"/>
    </row>
    <row r="3531" spans="1:19" ht="30" customHeight="1" thickBot="1" x14ac:dyDescent="0.4">
      <c r="A3531" s="1199"/>
      <c r="B3531" s="1200"/>
      <c r="C3531" s="1200"/>
      <c r="D3531" s="1200"/>
      <c r="E3531" s="1200"/>
      <c r="F3531" s="1200"/>
      <c r="G3531" s="1200"/>
      <c r="H3531" s="1200"/>
      <c r="I3531" s="1200"/>
      <c r="J3531" s="1200"/>
      <c r="K3531" s="1200"/>
      <c r="L3531" s="1201"/>
      <c r="N3531" s="50"/>
      <c r="O3531" s="5"/>
      <c r="P3531" s="9"/>
      <c r="Q3531" s="34"/>
      <c r="R3531" s="5"/>
      <c r="S3531" s="35"/>
    </row>
    <row r="3532" spans="1:19" ht="30" customHeight="1" x14ac:dyDescent="0.35">
      <c r="A3532" s="388" t="s">
        <v>1</v>
      </c>
      <c r="B3532" s="389">
        <v>7447</v>
      </c>
      <c r="C3532" s="1290" t="s">
        <v>1480</v>
      </c>
      <c r="D3532" s="1291"/>
      <c r="E3532" s="392" t="s">
        <v>3</v>
      </c>
      <c r="F3532" s="393" t="s">
        <v>108</v>
      </c>
      <c r="G3532" s="390" t="s">
        <v>38</v>
      </c>
      <c r="H3532" s="135">
        <v>4039.6623844731898</v>
      </c>
      <c r="I3532" s="392" t="s">
        <v>5</v>
      </c>
      <c r="J3532" s="1207" t="s">
        <v>2538</v>
      </c>
      <c r="K3532" s="1207"/>
      <c r="L3532" s="1208"/>
      <c r="M3532" s="96"/>
      <c r="N3532" s="50"/>
      <c r="O3532" s="5"/>
      <c r="P3532" s="9"/>
      <c r="Q3532" s="34"/>
      <c r="R3532" s="5"/>
      <c r="S3532" s="35"/>
    </row>
    <row r="3533" spans="1:19" ht="30" customHeight="1" x14ac:dyDescent="0.35">
      <c r="A3533" s="185" t="s">
        <v>177</v>
      </c>
      <c r="B3533" s="1272" t="s">
        <v>7</v>
      </c>
      <c r="C3533" s="1272"/>
      <c r="D3533" s="1272"/>
      <c r="E3533" s="185" t="s">
        <v>52</v>
      </c>
      <c r="F3533" s="185" t="s">
        <v>178</v>
      </c>
      <c r="G3533" s="1337" t="s">
        <v>54</v>
      </c>
      <c r="H3533" s="1337"/>
      <c r="I3533" s="1221" t="s">
        <v>179</v>
      </c>
      <c r="J3533" s="1222"/>
      <c r="K3533" s="399" t="s">
        <v>180</v>
      </c>
      <c r="L3533" s="400"/>
      <c r="M3533" s="96"/>
      <c r="N3533" s="50"/>
      <c r="P3533" s="9"/>
      <c r="Q3533" s="34"/>
      <c r="R3533" s="5"/>
      <c r="S3533" s="35"/>
    </row>
    <row r="3534" spans="1:19" ht="30" customHeight="1" x14ac:dyDescent="0.35">
      <c r="A3534" s="186">
        <v>44220</v>
      </c>
      <c r="B3534" s="1202" t="s">
        <v>1481</v>
      </c>
      <c r="C3534" s="1203"/>
      <c r="D3534" s="1204"/>
      <c r="E3534" s="194">
        <v>209</v>
      </c>
      <c r="F3534" s="203">
        <v>3000</v>
      </c>
      <c r="G3534" s="401"/>
      <c r="H3534" s="401"/>
      <c r="I3534" s="1492">
        <f>+'FY2024 MILCON Inflation Table'!F22</f>
        <v>0.95834826759383673</v>
      </c>
      <c r="J3534" s="1493"/>
      <c r="K3534" s="189">
        <f>+E3534*I3534</f>
        <v>200.29478792711188</v>
      </c>
      <c r="L3534" s="401" t="s">
        <v>108</v>
      </c>
      <c r="M3534" s="50"/>
      <c r="N3534" s="50"/>
      <c r="O3534" s="5"/>
      <c r="P3534" s="9"/>
      <c r="Q3534" s="34"/>
      <c r="R3534" s="5"/>
      <c r="S3534" s="35"/>
    </row>
    <row r="3535" spans="1:19" ht="30" customHeight="1" x14ac:dyDescent="0.35">
      <c r="A3535" s="186">
        <v>44220</v>
      </c>
      <c r="B3535" s="1212" t="s">
        <v>1482</v>
      </c>
      <c r="C3535" s="1213"/>
      <c r="D3535" s="1214"/>
      <c r="E3535" s="194">
        <v>367</v>
      </c>
      <c r="F3535" s="203">
        <v>5300</v>
      </c>
      <c r="G3535" s="401"/>
      <c r="H3535" s="401"/>
      <c r="I3535" s="1492">
        <f>+I3534</f>
        <v>0.95834826759383673</v>
      </c>
      <c r="J3535" s="1493"/>
      <c r="K3535" s="189">
        <f>+E3535*I3535</f>
        <v>351.71381420693808</v>
      </c>
      <c r="L3535" s="401" t="s">
        <v>108</v>
      </c>
      <c r="M3535" s="50"/>
      <c r="N3535" s="50"/>
      <c r="P3535" s="9"/>
      <c r="Q3535" s="34"/>
      <c r="R3535" s="5"/>
      <c r="S3535" s="35"/>
    </row>
    <row r="3536" spans="1:19" ht="30" customHeight="1" thickBot="1" x14ac:dyDescent="0.4">
      <c r="A3536" s="186"/>
      <c r="B3536" s="1202"/>
      <c r="C3536" s="1203"/>
      <c r="D3536" s="1204"/>
      <c r="E3536" s="757"/>
      <c r="F3536" s="1065"/>
      <c r="G3536" s="757"/>
      <c r="H3536" s="757" t="s">
        <v>192</v>
      </c>
      <c r="I3536" s="503"/>
      <c r="J3536" s="494" t="s">
        <v>37</v>
      </c>
      <c r="K3536" s="190">
        <f>AVERAGE(K3534:K3535)</f>
        <v>276.00430106702498</v>
      </c>
      <c r="L3536" s="401" t="s">
        <v>108</v>
      </c>
      <c r="M3536" s="50"/>
      <c r="N3536" s="50"/>
      <c r="O3536" s="5"/>
      <c r="P3536" s="9"/>
      <c r="Q3536" s="34"/>
      <c r="R3536" s="5"/>
      <c r="S3536" s="35"/>
    </row>
    <row r="3537" spans="1:19" ht="30" customHeight="1" thickBot="1" x14ac:dyDescent="0.4">
      <c r="A3537" s="1199"/>
      <c r="B3537" s="1200"/>
      <c r="C3537" s="1200"/>
      <c r="D3537" s="1200"/>
      <c r="E3537" s="1200"/>
      <c r="F3537" s="1200"/>
      <c r="G3537" s="1200"/>
      <c r="H3537" s="1200"/>
      <c r="I3537" s="1200"/>
      <c r="J3537" s="1200"/>
      <c r="K3537" s="1200"/>
      <c r="L3537" s="1201"/>
      <c r="M3537" s="50"/>
      <c r="N3537" s="50"/>
      <c r="O3537" s="5"/>
      <c r="P3537" s="9"/>
      <c r="Q3537" s="34"/>
      <c r="R3537" s="5"/>
      <c r="S3537" s="35"/>
    </row>
    <row r="3538" spans="1:19" ht="30" customHeight="1" x14ac:dyDescent="0.35">
      <c r="A3538" s="1029" t="s">
        <v>1</v>
      </c>
      <c r="B3538" s="1030">
        <v>7448</v>
      </c>
      <c r="C3538" s="1426" t="s">
        <v>1483</v>
      </c>
      <c r="D3538" s="1427"/>
      <c r="E3538" s="1031" t="s">
        <v>3</v>
      </c>
      <c r="F3538" s="1051" t="s">
        <v>108</v>
      </c>
      <c r="G3538" s="390" t="s">
        <v>38</v>
      </c>
      <c r="H3538" s="1033">
        <v>1360</v>
      </c>
      <c r="I3538" s="1031" t="s">
        <v>5</v>
      </c>
      <c r="J3538" s="1207" t="s">
        <v>2874</v>
      </c>
      <c r="K3538" s="1207"/>
      <c r="L3538" s="1208"/>
      <c r="M3538" s="50"/>
      <c r="N3538" s="50"/>
      <c r="O3538" s="5"/>
      <c r="P3538" s="9"/>
      <c r="Q3538" s="34"/>
      <c r="R3538" s="5"/>
      <c r="S3538" s="35"/>
    </row>
    <row r="3539" spans="1:19" ht="30" customHeight="1" x14ac:dyDescent="0.35">
      <c r="A3539" s="1034" t="s">
        <v>187</v>
      </c>
      <c r="B3539" s="1416" t="s">
        <v>211</v>
      </c>
      <c r="C3539" s="1417"/>
      <c r="D3539" s="1418"/>
      <c r="E3539" s="1035" t="s">
        <v>52</v>
      </c>
      <c r="F3539" s="1035" t="s">
        <v>53</v>
      </c>
      <c r="G3539" s="1419" t="s">
        <v>54</v>
      </c>
      <c r="H3539" s="1420"/>
      <c r="I3539" s="1053" t="s">
        <v>1390</v>
      </c>
      <c r="J3539" s="185" t="s">
        <v>179</v>
      </c>
      <c r="K3539" s="399" t="s">
        <v>180</v>
      </c>
      <c r="L3539" s="400"/>
      <c r="M3539" s="50"/>
      <c r="N3539" s="50"/>
      <c r="O3539" s="5"/>
      <c r="P3539" s="9"/>
      <c r="Q3539" s="34"/>
      <c r="R3539" s="5"/>
      <c r="S3539" s="35"/>
    </row>
    <row r="3540" spans="1:19" ht="30" customHeight="1" x14ac:dyDescent="0.35">
      <c r="A3540" s="1041" t="s">
        <v>1334</v>
      </c>
      <c r="B3540" s="1447" t="s">
        <v>1484</v>
      </c>
      <c r="C3540" s="1448"/>
      <c r="D3540" s="1449"/>
      <c r="E3540" s="1066">
        <v>61.5</v>
      </c>
      <c r="F3540" s="1038" t="s">
        <v>108</v>
      </c>
      <c r="G3540" s="1067"/>
      <c r="H3540" s="1040"/>
      <c r="I3540" s="1041">
        <v>1.1000000000000001</v>
      </c>
      <c r="J3540" s="1022">
        <f>+'FY2024 MILCON Inflation Table'!$F$14</f>
        <v>1.4139446884504483</v>
      </c>
      <c r="K3540" s="1049">
        <f>+E3540*I3540*J3540</f>
        <v>95.653358173672842</v>
      </c>
      <c r="L3540" s="1038" t="s">
        <v>108</v>
      </c>
      <c r="M3540" s="50"/>
      <c r="N3540" s="50"/>
      <c r="O3540" s="5"/>
      <c r="P3540" s="9"/>
      <c r="Q3540" s="34"/>
      <c r="R3540" s="5"/>
      <c r="S3540" s="35"/>
    </row>
    <row r="3541" spans="1:19" ht="30" customHeight="1" x14ac:dyDescent="0.35">
      <c r="A3541" s="1036" t="s">
        <v>249</v>
      </c>
      <c r="B3541" s="1494" t="s">
        <v>1485</v>
      </c>
      <c r="C3541" s="1495"/>
      <c r="D3541" s="1496"/>
      <c r="E3541" s="1037">
        <v>5.0999999999999996</v>
      </c>
      <c r="F3541" s="1038" t="s">
        <v>108</v>
      </c>
      <c r="G3541" s="1068">
        <v>1.1499999999999999</v>
      </c>
      <c r="H3541" s="1069" t="s">
        <v>1486</v>
      </c>
      <c r="I3541" s="1041">
        <v>1.1000000000000001</v>
      </c>
      <c r="J3541" s="1038"/>
      <c r="K3541" s="1049">
        <f>+E3541*G3541*I3541</f>
        <v>6.4514999999999993</v>
      </c>
      <c r="L3541" s="1041"/>
      <c r="M3541" s="50"/>
      <c r="N3541" s="50"/>
      <c r="O3541" s="5"/>
      <c r="P3541" s="9"/>
      <c r="Q3541" s="34"/>
      <c r="R3541" s="5"/>
      <c r="S3541" s="35"/>
    </row>
    <row r="3542" spans="1:19" ht="30" customHeight="1" x14ac:dyDescent="0.35">
      <c r="A3542" s="1070"/>
      <c r="B3542" s="1048"/>
      <c r="C3542" s="1048"/>
      <c r="D3542" s="1048"/>
      <c r="E3542" s="1037"/>
      <c r="F3542" s="1041"/>
      <c r="G3542" s="1041"/>
      <c r="H3542" s="1041"/>
      <c r="I3542" s="1041"/>
      <c r="J3542" s="1041" t="s">
        <v>223</v>
      </c>
      <c r="K3542" s="1037">
        <f>SUM(K3540:K3541)</f>
        <v>102.10485817367284</v>
      </c>
      <c r="L3542" s="1041" t="s">
        <v>108</v>
      </c>
      <c r="M3542" s="50"/>
      <c r="N3542" s="50"/>
      <c r="O3542" s="5"/>
      <c r="P3542" s="9"/>
      <c r="Q3542" s="34"/>
      <c r="R3542" s="5"/>
      <c r="S3542" s="35"/>
    </row>
    <row r="3543" spans="1:19" ht="30" customHeight="1" x14ac:dyDescent="0.35">
      <c r="A3543" s="186"/>
      <c r="B3543" s="567"/>
      <c r="C3543" s="567"/>
      <c r="D3543" s="567"/>
      <c r="E3543" s="194"/>
      <c r="F3543" s="1215" t="s">
        <v>195</v>
      </c>
      <c r="G3543" s="1273" t="s">
        <v>196</v>
      </c>
      <c r="H3543" s="1273"/>
      <c r="I3543" s="1273"/>
      <c r="J3543" s="1273"/>
      <c r="K3543" s="196">
        <v>1.02</v>
      </c>
      <c r="L3543" s="186"/>
      <c r="M3543" s="50"/>
      <c r="N3543" s="50"/>
      <c r="O3543" s="5"/>
      <c r="P3543" s="9"/>
      <c r="Q3543" s="34"/>
      <c r="R3543" s="5"/>
      <c r="S3543" s="35"/>
    </row>
    <row r="3544" spans="1:19" ht="30" customHeight="1" x14ac:dyDescent="0.35">
      <c r="A3544" s="186"/>
      <c r="B3544" s="567"/>
      <c r="C3544" s="567"/>
      <c r="D3544" s="567"/>
      <c r="E3544" s="194"/>
      <c r="F3544" s="1216"/>
      <c r="G3544" s="1268" t="s">
        <v>2875</v>
      </c>
      <c r="H3544" s="1268"/>
      <c r="I3544" s="1268"/>
      <c r="J3544" s="1268"/>
      <c r="K3544" s="196">
        <v>1.07</v>
      </c>
      <c r="L3544" s="186"/>
      <c r="M3544" s="50"/>
      <c r="N3544" s="50"/>
      <c r="O3544" s="5"/>
      <c r="P3544" s="9"/>
      <c r="Q3544" s="34"/>
      <c r="R3544" s="5"/>
      <c r="S3544" s="35"/>
    </row>
    <row r="3545" spans="1:19" ht="30" customHeight="1" x14ac:dyDescent="0.35">
      <c r="A3545" s="1041"/>
      <c r="B3545" s="1041"/>
      <c r="C3545" s="1048"/>
      <c r="D3545" s="1048"/>
      <c r="E3545" s="1048"/>
      <c r="F3545" s="1048"/>
      <c r="G3545" s="1048"/>
      <c r="H3545" s="1048"/>
      <c r="I3545" s="1048"/>
      <c r="J3545" s="1041" t="s">
        <v>37</v>
      </c>
      <c r="K3545" s="1049">
        <f>+K3542*K3543/K3544</f>
        <v>97.333603118828307</v>
      </c>
      <c r="L3545" s="1041" t="s">
        <v>108</v>
      </c>
      <c r="M3545" s="50"/>
      <c r="N3545" s="50"/>
      <c r="O3545" s="5"/>
      <c r="P3545" s="9"/>
      <c r="Q3545" s="34"/>
      <c r="R3545" s="5"/>
      <c r="S3545" s="35"/>
    </row>
    <row r="3546" spans="1:19" ht="30" customHeight="1" thickBot="1" x14ac:dyDescent="0.4">
      <c r="A3546" s="1041"/>
      <c r="B3546" s="1041"/>
      <c r="C3546" s="1048"/>
      <c r="D3546" s="1048"/>
      <c r="E3546" s="1048"/>
      <c r="F3546" s="1048"/>
      <c r="G3546" s="1194" t="s">
        <v>257</v>
      </c>
      <c r="H3546" s="1195"/>
      <c r="I3546" s="1196"/>
      <c r="J3546" s="560">
        <f>VLOOKUP(B3538,'Mil Cost Premiums for PUCs'!$A$4:$R$285,18,FALSE)</f>
        <v>1.1379589900046172</v>
      </c>
      <c r="K3546" s="1049">
        <f>+K3545*J3546</f>
        <v>110.76164869861212</v>
      </c>
      <c r="L3546" s="1041" t="s">
        <v>108</v>
      </c>
      <c r="M3546" s="50"/>
      <c r="N3546" s="50"/>
      <c r="O3546" s="5"/>
      <c r="P3546" s="9"/>
      <c r="Q3546" s="34"/>
      <c r="R3546" s="5"/>
      <c r="S3546" s="35"/>
    </row>
    <row r="3547" spans="1:19" ht="30" customHeight="1" thickBot="1" x14ac:dyDescent="0.4">
      <c r="A3547" s="1199"/>
      <c r="B3547" s="1200"/>
      <c r="C3547" s="1200"/>
      <c r="D3547" s="1200"/>
      <c r="E3547" s="1200"/>
      <c r="F3547" s="1200"/>
      <c r="G3547" s="1200"/>
      <c r="H3547" s="1200"/>
      <c r="I3547" s="1200"/>
      <c r="J3547" s="1200"/>
      <c r="K3547" s="1200"/>
      <c r="L3547" s="1201"/>
      <c r="N3547" s="50"/>
      <c r="O3547" s="5"/>
      <c r="P3547" s="9"/>
      <c r="Q3547" s="34"/>
      <c r="R3547" s="5"/>
      <c r="S3547" s="35"/>
    </row>
    <row r="3548" spans="1:19" ht="30" customHeight="1" x14ac:dyDescent="0.35">
      <c r="A3548" s="388" t="s">
        <v>1</v>
      </c>
      <c r="B3548" s="389">
        <v>7449</v>
      </c>
      <c r="C3548" s="1205" t="s">
        <v>1487</v>
      </c>
      <c r="D3548" s="1206"/>
      <c r="E3548" s="392" t="s">
        <v>3</v>
      </c>
      <c r="F3548" s="393" t="s">
        <v>108</v>
      </c>
      <c r="G3548" s="390" t="s">
        <v>38</v>
      </c>
      <c r="H3548" s="660">
        <v>2543</v>
      </c>
      <c r="I3548" s="392" t="s">
        <v>5</v>
      </c>
      <c r="J3548" s="1207" t="s">
        <v>2874</v>
      </c>
      <c r="K3548" s="1207"/>
      <c r="L3548" s="1208"/>
      <c r="M3548" s="50"/>
      <c r="N3548" s="50"/>
      <c r="O3548" s="5"/>
      <c r="P3548" s="9"/>
      <c r="Q3548" s="34"/>
      <c r="R3548" s="5"/>
      <c r="S3548" s="35"/>
    </row>
    <row r="3549" spans="1:19" ht="30" customHeight="1" x14ac:dyDescent="0.35">
      <c r="A3549" s="494" t="s">
        <v>187</v>
      </c>
      <c r="B3549" s="1280" t="s">
        <v>211</v>
      </c>
      <c r="C3549" s="1281"/>
      <c r="D3549" s="1282"/>
      <c r="E3549" s="566" t="s">
        <v>52</v>
      </c>
      <c r="F3549" s="566" t="s">
        <v>53</v>
      </c>
      <c r="G3549" s="1219" t="s">
        <v>54</v>
      </c>
      <c r="H3549" s="1220"/>
      <c r="I3549" s="185" t="s">
        <v>188</v>
      </c>
      <c r="J3549" s="185"/>
      <c r="K3549" s="399" t="s">
        <v>180</v>
      </c>
      <c r="L3549" s="400"/>
      <c r="M3549" s="50"/>
      <c r="N3549" s="50"/>
      <c r="O3549" s="852"/>
      <c r="P3549" s="9"/>
      <c r="Q3549" s="34"/>
      <c r="R3549" s="5"/>
      <c r="S3549" s="35"/>
    </row>
    <row r="3550" spans="1:19" ht="30" customHeight="1" x14ac:dyDescent="0.35">
      <c r="A3550" s="985" t="s">
        <v>1488</v>
      </c>
      <c r="B3550" s="1202" t="s">
        <v>1489</v>
      </c>
      <c r="C3550" s="1203"/>
      <c r="D3550" s="1204"/>
      <c r="E3550" s="194">
        <v>163</v>
      </c>
      <c r="F3550" s="186" t="s">
        <v>108</v>
      </c>
      <c r="G3550" s="186"/>
      <c r="H3550" s="186"/>
      <c r="I3550" s="186">
        <v>1.0900000000000001</v>
      </c>
      <c r="J3550" s="186"/>
      <c r="K3550" s="194">
        <f>+E3550*I3550</f>
        <v>177.67000000000002</v>
      </c>
      <c r="L3550" s="186" t="s">
        <v>108</v>
      </c>
      <c r="M3550" s="50"/>
      <c r="N3550" s="50"/>
      <c r="O3550" s="5"/>
      <c r="P3550" s="9"/>
      <c r="Q3550" s="34"/>
      <c r="R3550" s="5"/>
      <c r="S3550" s="35"/>
    </row>
    <row r="3551" spans="1:19" ht="30" customHeight="1" x14ac:dyDescent="0.35">
      <c r="A3551" s="985" t="s">
        <v>285</v>
      </c>
      <c r="B3551" s="1212" t="s">
        <v>1490</v>
      </c>
      <c r="C3551" s="1213"/>
      <c r="D3551" s="1214"/>
      <c r="E3551" s="193">
        <v>5.91</v>
      </c>
      <c r="F3551" s="186" t="s">
        <v>108</v>
      </c>
      <c r="G3551" s="711"/>
      <c r="H3551" s="534"/>
      <c r="I3551" s="186">
        <v>1.0900000000000001</v>
      </c>
      <c r="J3551" s="186"/>
      <c r="K3551" s="194">
        <f>+E3551*I3551</f>
        <v>6.4419000000000004</v>
      </c>
      <c r="L3551" s="186" t="s">
        <v>108</v>
      </c>
      <c r="M3551" s="50"/>
      <c r="N3551" s="50"/>
      <c r="O3551" s="5"/>
      <c r="P3551" s="9"/>
      <c r="Q3551" s="34"/>
      <c r="R3551" s="5"/>
      <c r="S3551" s="35"/>
    </row>
    <row r="3552" spans="1:19" ht="30" customHeight="1" x14ac:dyDescent="0.35">
      <c r="A3552" s="985" t="s">
        <v>1491</v>
      </c>
      <c r="B3552" s="1212" t="s">
        <v>2890</v>
      </c>
      <c r="C3552" s="1213"/>
      <c r="D3552" s="1214"/>
      <c r="E3552" s="193">
        <f>((4.34+8.1)/2)*960</f>
        <v>5971.2</v>
      </c>
      <c r="F3552" s="186" t="s">
        <v>40</v>
      </c>
      <c r="G3552" s="907">
        <f>+H3548</f>
        <v>2543</v>
      </c>
      <c r="H3552" s="188" t="s">
        <v>448</v>
      </c>
      <c r="I3552" s="186">
        <v>1.07</v>
      </c>
      <c r="J3552" s="186"/>
      <c r="K3552" s="194">
        <f>+E3552/G3552*I3552</f>
        <v>2.5124593000393234</v>
      </c>
      <c r="L3552" s="186" t="s">
        <v>108</v>
      </c>
      <c r="M3552" s="50"/>
      <c r="N3552" s="286"/>
    </row>
    <row r="3553" spans="1:25" ht="30" customHeight="1" x14ac:dyDescent="0.35">
      <c r="A3553" s="985" t="s">
        <v>1491</v>
      </c>
      <c r="B3553" s="1212" t="s">
        <v>2891</v>
      </c>
      <c r="C3553" s="1213"/>
      <c r="D3553" s="1214"/>
      <c r="E3553" s="193">
        <f>((5.41+9.93)/2)*800</f>
        <v>6136</v>
      </c>
      <c r="F3553" s="186" t="s">
        <v>40</v>
      </c>
      <c r="G3553" s="907">
        <f>H3548</f>
        <v>2543</v>
      </c>
      <c r="H3553" s="188" t="s">
        <v>448</v>
      </c>
      <c r="I3553" s="186">
        <v>1.07</v>
      </c>
      <c r="J3553" s="186"/>
      <c r="K3553" s="194">
        <f>+E3553/G3553*I3553</f>
        <v>2.5818010224144712</v>
      </c>
      <c r="L3553" s="186" t="s">
        <v>108</v>
      </c>
      <c r="M3553" s="50"/>
      <c r="N3553" s="50"/>
      <c r="O3553" s="5"/>
      <c r="P3553" s="9"/>
      <c r="Q3553" s="34"/>
      <c r="R3553" s="5"/>
      <c r="S3553" s="35"/>
    </row>
    <row r="3554" spans="1:25" ht="30" customHeight="1" x14ac:dyDescent="0.35">
      <c r="A3554" s="186" t="s">
        <v>1491</v>
      </c>
      <c r="B3554" s="1212" t="s">
        <v>1492</v>
      </c>
      <c r="C3554" s="1213"/>
      <c r="D3554" s="1214"/>
      <c r="E3554" s="193">
        <f>((227+432)/2)*4</f>
        <v>1318</v>
      </c>
      <c r="F3554" s="186" t="s">
        <v>40</v>
      </c>
      <c r="G3554" s="907">
        <f>H3548</f>
        <v>2543</v>
      </c>
      <c r="H3554" s="188" t="s">
        <v>448</v>
      </c>
      <c r="I3554" s="186">
        <v>1.07</v>
      </c>
      <c r="J3554" s="186"/>
      <c r="K3554" s="194">
        <f>+(E3554*4)/G3554*I3554</f>
        <v>2.2182618953991353</v>
      </c>
      <c r="L3554" s="186" t="s">
        <v>108</v>
      </c>
      <c r="M3554" s="50"/>
      <c r="N3554" s="50"/>
      <c r="O3554" s="5"/>
      <c r="P3554" s="9"/>
      <c r="Q3554" s="34"/>
      <c r="R3554" s="5"/>
      <c r="S3554" s="35"/>
    </row>
    <row r="3555" spans="1:25" ht="30" customHeight="1" x14ac:dyDescent="0.35">
      <c r="B3555" s="1264"/>
      <c r="C3555" s="1264"/>
      <c r="D3555" s="1264"/>
      <c r="E3555" s="194"/>
      <c r="F3555" s="186"/>
      <c r="G3555" s="503"/>
      <c r="H3555" s="534"/>
      <c r="I3555" s="186"/>
      <c r="J3555" s="186" t="s">
        <v>223</v>
      </c>
      <c r="K3555" s="194">
        <f>SUM(K3550:K3554)</f>
        <v>191.42442221785296</v>
      </c>
      <c r="L3555" s="186" t="s">
        <v>108</v>
      </c>
      <c r="M3555" s="50"/>
      <c r="N3555" s="50"/>
      <c r="O3555" s="5"/>
      <c r="P3555" s="9"/>
      <c r="Q3555" s="34"/>
      <c r="R3555" s="5"/>
      <c r="S3555" s="35"/>
    </row>
    <row r="3556" spans="1:25" ht="30" customHeight="1" x14ac:dyDescent="0.35">
      <c r="A3556" s="186"/>
      <c r="B3556" s="567"/>
      <c r="C3556" s="567"/>
      <c r="D3556" s="567"/>
      <c r="E3556" s="194"/>
      <c r="F3556" s="1215" t="s">
        <v>195</v>
      </c>
      <c r="G3556" s="1273" t="s">
        <v>196</v>
      </c>
      <c r="H3556" s="1273"/>
      <c r="I3556" s="1273"/>
      <c r="J3556" s="1273"/>
      <c r="K3556" s="196">
        <v>1.05</v>
      </c>
      <c r="L3556" s="186"/>
      <c r="M3556" s="50"/>
      <c r="N3556" s="50"/>
      <c r="O3556" s="5"/>
      <c r="P3556" s="9"/>
      <c r="Q3556" s="34"/>
      <c r="R3556" s="5"/>
      <c r="S3556" s="35"/>
    </row>
    <row r="3557" spans="1:25" ht="30" customHeight="1" x14ac:dyDescent="0.35">
      <c r="A3557" s="186"/>
      <c r="B3557" s="567"/>
      <c r="C3557" s="567"/>
      <c r="D3557" s="567"/>
      <c r="E3557" s="194"/>
      <c r="F3557" s="1216"/>
      <c r="G3557" s="1268" t="s">
        <v>2875</v>
      </c>
      <c r="H3557" s="1268"/>
      <c r="I3557" s="1268"/>
      <c r="J3557" s="1268"/>
      <c r="K3557" s="196">
        <v>1.07</v>
      </c>
      <c r="L3557" s="186"/>
      <c r="M3557" s="50"/>
      <c r="N3557" s="50"/>
      <c r="O3557" s="5"/>
      <c r="P3557" s="9"/>
      <c r="Q3557" s="34"/>
      <c r="R3557" s="5"/>
      <c r="S3557" s="35"/>
    </row>
    <row r="3558" spans="1:25" ht="30" customHeight="1" x14ac:dyDescent="0.35">
      <c r="A3558" s="186"/>
      <c r="B3558" s="186"/>
      <c r="C3558" s="503"/>
      <c r="D3558" s="503"/>
      <c r="E3558" s="503"/>
      <c r="F3558" s="503"/>
      <c r="G3558" s="503"/>
      <c r="H3558" s="503"/>
      <c r="I3558" s="503"/>
      <c r="J3558" s="186" t="s">
        <v>37</v>
      </c>
      <c r="K3558" s="193">
        <f>+K3555*K3556/K3557</f>
        <v>187.84639563434169</v>
      </c>
      <c r="L3558" s="186" t="s">
        <v>108</v>
      </c>
      <c r="M3558" s="50"/>
      <c r="N3558" s="50"/>
      <c r="O3558" s="5"/>
      <c r="P3558" s="9"/>
      <c r="Q3558" s="34"/>
      <c r="R3558" s="5"/>
      <c r="S3558" s="35"/>
    </row>
    <row r="3559" spans="1:25" ht="30" customHeight="1" thickBot="1" x14ac:dyDescent="0.4">
      <c r="A3559" s="186"/>
      <c r="B3559" s="186"/>
      <c r="C3559" s="503"/>
      <c r="D3559" s="503"/>
      <c r="E3559" s="503"/>
      <c r="F3559" s="503"/>
      <c r="G3559" s="1194" t="s">
        <v>257</v>
      </c>
      <c r="H3559" s="1195"/>
      <c r="I3559" s="1196"/>
      <c r="J3559" s="560">
        <f>VLOOKUP(B3548,'Mil Cost Premiums for PUCs'!$A$4:$R$285,18,FALSE)</f>
        <v>1.3319480854780448</v>
      </c>
      <c r="K3559" s="193">
        <f>+K3558*J3559</f>
        <v>250.20164702911276</v>
      </c>
      <c r="L3559" s="186" t="s">
        <v>108</v>
      </c>
      <c r="M3559" s="50"/>
      <c r="N3559" s="50"/>
      <c r="O3559" s="5"/>
      <c r="P3559" s="9"/>
      <c r="Q3559" s="34"/>
      <c r="R3559" s="5"/>
      <c r="S3559" s="35"/>
    </row>
    <row r="3560" spans="1:25" ht="30" customHeight="1" thickBot="1" x14ac:dyDescent="0.4">
      <c r="A3560" s="1199"/>
      <c r="B3560" s="1200"/>
      <c r="C3560" s="1200"/>
      <c r="D3560" s="1200"/>
      <c r="E3560" s="1200"/>
      <c r="F3560" s="1200"/>
      <c r="G3560" s="1200"/>
      <c r="H3560" s="1200"/>
      <c r="I3560" s="1200"/>
      <c r="J3560" s="1200"/>
      <c r="K3560" s="1200"/>
      <c r="L3560" s="1201"/>
      <c r="N3560" s="50"/>
      <c r="O3560" s="5"/>
      <c r="P3560" s="9"/>
      <c r="Q3560" s="34"/>
      <c r="R3560" s="5"/>
      <c r="S3560" s="35"/>
    </row>
    <row r="3561" spans="1:25" ht="30" customHeight="1" x14ac:dyDescent="0.35">
      <c r="A3561" s="388" t="s">
        <v>1</v>
      </c>
      <c r="B3561" s="389">
        <v>7511</v>
      </c>
      <c r="C3561" s="1290" t="s">
        <v>1493</v>
      </c>
      <c r="D3561" s="1291"/>
      <c r="E3561" s="392" t="s">
        <v>3</v>
      </c>
      <c r="F3561" s="393" t="s">
        <v>40</v>
      </c>
      <c r="G3561" s="529" t="s">
        <v>2</v>
      </c>
      <c r="H3561" s="135">
        <v>1</v>
      </c>
      <c r="I3561" s="392" t="s">
        <v>5</v>
      </c>
      <c r="J3561" s="1207" t="s">
        <v>2571</v>
      </c>
      <c r="K3561" s="1207"/>
      <c r="L3561" s="1208"/>
      <c r="M3561" s="96"/>
      <c r="N3561" s="50"/>
    </row>
    <row r="3562" spans="1:25" ht="30" customHeight="1" x14ac:dyDescent="0.35">
      <c r="A3562" s="185" t="s">
        <v>177</v>
      </c>
      <c r="B3562" s="1272" t="s">
        <v>7</v>
      </c>
      <c r="C3562" s="1272"/>
      <c r="D3562" s="1272"/>
      <c r="E3562" s="397" t="s">
        <v>1494</v>
      </c>
      <c r="F3562" s="185" t="s">
        <v>178</v>
      </c>
      <c r="G3562" s="1292" t="s">
        <v>54</v>
      </c>
      <c r="H3562" s="1293"/>
      <c r="I3562" s="1221" t="s">
        <v>179</v>
      </c>
      <c r="J3562" s="1222"/>
      <c r="K3562" s="399" t="s">
        <v>180</v>
      </c>
      <c r="L3562" s="400"/>
      <c r="M3562" s="96"/>
      <c r="O3562" s="5"/>
      <c r="P3562" s="9"/>
      <c r="Q3562" s="34"/>
      <c r="R3562" s="5"/>
      <c r="S3562" s="35"/>
    </row>
    <row r="3563" spans="1:25" ht="30" customHeight="1" x14ac:dyDescent="0.35">
      <c r="A3563" s="186">
        <v>75018</v>
      </c>
      <c r="B3563" s="1264" t="s">
        <v>2883</v>
      </c>
      <c r="C3563" s="1264"/>
      <c r="D3563" s="1264"/>
      <c r="E3563" s="194">
        <v>28</v>
      </c>
      <c r="F3563" s="203">
        <v>38311</v>
      </c>
      <c r="G3563" s="525" t="s">
        <v>371</v>
      </c>
      <c r="H3563" s="401"/>
      <c r="I3563" s="1492">
        <f>+'FY2024 MILCON Inflation Table'!F23</f>
        <v>0.93863689284411045</v>
      </c>
      <c r="J3563" s="1493"/>
      <c r="K3563" s="189">
        <f>+E3563*F3563*I3563</f>
        <v>1006883.3040490201</v>
      </c>
      <c r="L3563" s="401" t="s">
        <v>40</v>
      </c>
      <c r="M3563" s="50"/>
      <c r="N3563" s="50"/>
      <c r="O3563" s="5"/>
      <c r="P3563" s="9"/>
      <c r="Q3563" s="34"/>
      <c r="R3563" s="5"/>
      <c r="S3563" s="35"/>
    </row>
    <row r="3564" spans="1:25" ht="30" customHeight="1" x14ac:dyDescent="0.35">
      <c r="A3564" s="186">
        <v>75018</v>
      </c>
      <c r="B3564" s="1264" t="s">
        <v>2586</v>
      </c>
      <c r="C3564" s="1264"/>
      <c r="D3564" s="1264"/>
      <c r="E3564" s="351">
        <v>16</v>
      </c>
      <c r="F3564" s="203">
        <v>23900</v>
      </c>
      <c r="G3564" s="525" t="s">
        <v>371</v>
      </c>
      <c r="H3564" s="401"/>
      <c r="I3564" s="1492">
        <f>+'FY2024 MILCON Inflation Table'!$F$15</f>
        <v>1.3402943931789864</v>
      </c>
      <c r="J3564" s="1493"/>
      <c r="K3564" s="189">
        <f>+E3564*F3564*I3564</f>
        <v>512528.57595164439</v>
      </c>
      <c r="L3564" s="401" t="s">
        <v>40</v>
      </c>
      <c r="M3564" s="50"/>
      <c r="N3564" s="50"/>
      <c r="O3564" s="5"/>
      <c r="P3564" s="9"/>
      <c r="Q3564" s="34"/>
      <c r="R3564" s="5"/>
      <c r="S3564" s="35"/>
    </row>
    <row r="3565" spans="1:25" ht="30" customHeight="1" x14ac:dyDescent="0.35">
      <c r="A3565" s="186">
        <v>75018</v>
      </c>
      <c r="B3565" s="1264" t="s">
        <v>2587</v>
      </c>
      <c r="C3565" s="1264"/>
      <c r="D3565" s="1264"/>
      <c r="E3565" s="194">
        <v>20</v>
      </c>
      <c r="F3565" s="203">
        <v>16700</v>
      </c>
      <c r="G3565" s="525" t="s">
        <v>371</v>
      </c>
      <c r="H3565" s="401"/>
      <c r="I3565" s="1492">
        <f>+'FY2024 MILCON Inflation Table'!$F$15</f>
        <v>1.3402943931789864</v>
      </c>
      <c r="J3565" s="1493"/>
      <c r="K3565" s="189">
        <f>+E3565*F3565*I3565</f>
        <v>447658.32732178143</v>
      </c>
      <c r="L3565" s="401" t="s">
        <v>40</v>
      </c>
      <c r="M3565" s="50"/>
      <c r="N3565" s="50"/>
      <c r="O3565" s="5"/>
      <c r="P3565" s="9"/>
      <c r="Q3565" s="34"/>
      <c r="R3565" s="5"/>
      <c r="S3565" s="35"/>
    </row>
    <row r="3566" spans="1:25" ht="30" customHeight="1" x14ac:dyDescent="0.35">
      <c r="A3566" s="186">
        <v>75018</v>
      </c>
      <c r="B3566" s="1211" t="s">
        <v>2588</v>
      </c>
      <c r="C3566" s="1211"/>
      <c r="D3566" s="1211"/>
      <c r="E3566" s="194">
        <v>8.3000000000000007</v>
      </c>
      <c r="F3566" s="203">
        <v>113400</v>
      </c>
      <c r="G3566" s="525" t="s">
        <v>371</v>
      </c>
      <c r="H3566" s="401"/>
      <c r="I3566" s="1492">
        <f>+'FY2024 MILCON Inflation Table'!$F$15</f>
        <v>1.3402943931789864</v>
      </c>
      <c r="J3566" s="1493"/>
      <c r="K3566" s="189">
        <f>+E3566*F3566*I3566</f>
        <v>1261511.8887479256</v>
      </c>
      <c r="L3566" s="401" t="s">
        <v>40</v>
      </c>
      <c r="M3566" s="50"/>
      <c r="N3566" s="50"/>
      <c r="O3566" s="5"/>
      <c r="P3566" s="9"/>
      <c r="Q3566" s="34"/>
      <c r="R3566" s="5"/>
      <c r="S3566" s="35"/>
    </row>
    <row r="3567" spans="1:25" ht="30" customHeight="1" thickBot="1" x14ac:dyDescent="0.4">
      <c r="A3567" s="186"/>
      <c r="B3567" s="1202"/>
      <c r="C3567" s="1203"/>
      <c r="D3567" s="1204"/>
      <c r="E3567" s="520"/>
      <c r="F3567" s="784"/>
      <c r="G3567" s="520"/>
      <c r="I3567" s="395" t="s">
        <v>192</v>
      </c>
      <c r="J3567" s="494" t="s">
        <v>37</v>
      </c>
      <c r="K3567" s="190">
        <f>AVERAGE(K3563:K3566)</f>
        <v>807145.52401759289</v>
      </c>
      <c r="L3567" s="401" t="s">
        <v>40</v>
      </c>
      <c r="M3567" s="50"/>
      <c r="N3567" s="64"/>
      <c r="O3567" s="5"/>
      <c r="P3567" s="9"/>
      <c r="Q3567" s="34"/>
      <c r="R3567" s="5"/>
      <c r="S3567" s="35"/>
      <c r="X3567" s="396"/>
      <c r="Y3567" s="396"/>
    </row>
    <row r="3568" spans="1:25" ht="30" customHeight="1" thickBot="1" x14ac:dyDescent="0.4">
      <c r="A3568" s="1199"/>
      <c r="B3568" s="1200"/>
      <c r="C3568" s="1200"/>
      <c r="D3568" s="1200"/>
      <c r="E3568" s="1200"/>
      <c r="F3568" s="1200"/>
      <c r="G3568" s="1200"/>
      <c r="H3568" s="1200"/>
      <c r="I3568" s="1200"/>
      <c r="J3568" s="1200"/>
      <c r="K3568" s="1200"/>
      <c r="L3568" s="1201"/>
      <c r="M3568" s="50"/>
      <c r="N3568" s="50"/>
      <c r="O3568" s="5"/>
      <c r="P3568" s="9"/>
      <c r="Q3568" s="34"/>
      <c r="R3568" s="5"/>
      <c r="S3568" s="35"/>
    </row>
    <row r="3569" spans="1:26" ht="30" customHeight="1" x14ac:dyDescent="0.35">
      <c r="A3569" s="388" t="s">
        <v>1</v>
      </c>
      <c r="B3569" s="389">
        <v>7512</v>
      </c>
      <c r="C3569" s="1205" t="s">
        <v>1495</v>
      </c>
      <c r="D3569" s="1206"/>
      <c r="E3569" s="392" t="s">
        <v>3</v>
      </c>
      <c r="F3569" s="393" t="s">
        <v>40</v>
      </c>
      <c r="G3569" s="520" t="s">
        <v>2</v>
      </c>
      <c r="H3569" s="132">
        <v>1</v>
      </c>
      <c r="I3569" s="392" t="s">
        <v>5</v>
      </c>
      <c r="J3569" s="1207" t="s">
        <v>2481</v>
      </c>
      <c r="K3569" s="1207"/>
      <c r="L3569" s="1208"/>
      <c r="M3569" s="50"/>
      <c r="N3569" s="106"/>
      <c r="O3569" s="5"/>
      <c r="P3569" s="9"/>
      <c r="Q3569" s="34"/>
      <c r="R3569" s="5"/>
      <c r="S3569" s="35"/>
      <c r="X3569" s="396"/>
      <c r="Y3569" s="396"/>
      <c r="Z3569" s="396"/>
    </row>
    <row r="3570" spans="1:26" ht="30" customHeight="1" x14ac:dyDescent="0.35">
      <c r="A3570" s="494" t="s">
        <v>187</v>
      </c>
      <c r="B3570" s="1280" t="s">
        <v>211</v>
      </c>
      <c r="C3570" s="1281"/>
      <c r="D3570" s="1282"/>
      <c r="E3570" s="566" t="s">
        <v>52</v>
      </c>
      <c r="F3570" s="566" t="s">
        <v>53</v>
      </c>
      <c r="G3570" s="1219" t="s">
        <v>54</v>
      </c>
      <c r="H3570" s="1220"/>
      <c r="I3570" s="185" t="s">
        <v>1051</v>
      </c>
      <c r="J3570" s="185" t="s">
        <v>188</v>
      </c>
      <c r="K3570" s="399" t="s">
        <v>180</v>
      </c>
      <c r="L3570" s="400"/>
      <c r="M3570" s="50"/>
      <c r="N3570" s="50"/>
      <c r="O3570" s="5"/>
      <c r="P3570" s="9"/>
      <c r="Q3570" s="34"/>
      <c r="R3570" s="5"/>
      <c r="S3570" s="35"/>
      <c r="X3570" s="396"/>
      <c r="Y3570" s="396"/>
      <c r="Z3570" s="396"/>
    </row>
    <row r="3571" spans="1:26" ht="30" customHeight="1" x14ac:dyDescent="0.35">
      <c r="A3571" s="494"/>
      <c r="B3571" s="1212" t="s">
        <v>436</v>
      </c>
      <c r="C3571" s="1213"/>
      <c r="D3571" s="1214"/>
      <c r="E3571" s="566"/>
      <c r="F3571" s="566"/>
      <c r="G3571" s="459"/>
      <c r="H3571" s="460"/>
      <c r="I3571" s="278"/>
      <c r="J3571" s="672"/>
      <c r="K3571" s="566"/>
      <c r="L3571" s="566"/>
      <c r="M3571" s="50"/>
      <c r="N3571" s="50"/>
      <c r="O3571" s="16"/>
      <c r="P3571" s="9"/>
      <c r="Q3571" s="34"/>
      <c r="R3571" s="5"/>
      <c r="S3571" s="35"/>
      <c r="X3571" s="396"/>
      <c r="Y3571" s="396"/>
      <c r="Z3571" s="396"/>
    </row>
    <row r="3572" spans="1:26" s="396" customFormat="1" ht="30" customHeight="1" x14ac:dyDescent="0.35">
      <c r="A3572" s="186" t="s">
        <v>1496</v>
      </c>
      <c r="B3572" s="1202" t="s">
        <v>2526</v>
      </c>
      <c r="C3572" s="1203"/>
      <c r="D3572" s="1204"/>
      <c r="E3572" s="194">
        <f>+(83+102)/2</f>
        <v>92.5</v>
      </c>
      <c r="F3572" s="422" t="s">
        <v>108</v>
      </c>
      <c r="G3572" s="203">
        <v>13455</v>
      </c>
      <c r="H3572" s="136" t="s">
        <v>371</v>
      </c>
      <c r="I3572" s="194">
        <f>+E3572*G3572</f>
        <v>1244587.5</v>
      </c>
      <c r="J3572" s="186">
        <v>1.1100000000000001</v>
      </c>
      <c r="K3572" s="194">
        <f t="shared" ref="K3572:K3577" si="62">+J3572*G3572*E3572</f>
        <v>1381492.125</v>
      </c>
      <c r="L3572" s="422" t="s">
        <v>40</v>
      </c>
      <c r="M3572" s="50"/>
      <c r="N3572" s="50"/>
      <c r="O3572" s="5"/>
      <c r="P3572" s="9"/>
      <c r="Q3572" s="34"/>
      <c r="R3572" s="5"/>
      <c r="S3572" s="35"/>
      <c r="T3572" s="9"/>
      <c r="U3572" s="9"/>
      <c r="V3572" s="9"/>
      <c r="W3572" s="9"/>
      <c r="X3572" s="9"/>
      <c r="Y3572" s="9"/>
    </row>
    <row r="3573" spans="1:26" ht="30" customHeight="1" x14ac:dyDescent="0.35">
      <c r="A3573" s="186"/>
      <c r="B3573" s="1202" t="s">
        <v>1497</v>
      </c>
      <c r="C3573" s="1203"/>
      <c r="D3573" s="1204"/>
      <c r="E3573" s="194">
        <f>-E3572*0.2</f>
        <v>-18.5</v>
      </c>
      <c r="F3573" s="422" t="s">
        <v>108</v>
      </c>
      <c r="G3573" s="203">
        <v>13455</v>
      </c>
      <c r="H3573" s="136" t="s">
        <v>371</v>
      </c>
      <c r="I3573" s="194">
        <f>+E3573*G3573</f>
        <v>-248917.5</v>
      </c>
      <c r="J3573" s="186">
        <v>1.1100000000000001</v>
      </c>
      <c r="K3573" s="194">
        <f t="shared" si="62"/>
        <v>-276298.42500000005</v>
      </c>
      <c r="L3573" s="422" t="s">
        <v>40</v>
      </c>
      <c r="M3573" s="50"/>
      <c r="O3573" s="5"/>
      <c r="P3573" s="9"/>
      <c r="Q3573" s="34"/>
      <c r="R3573" s="5"/>
      <c r="S3573" s="35"/>
    </row>
    <row r="3574" spans="1:26" s="396" customFormat="1" ht="30" customHeight="1" x14ac:dyDescent="0.35">
      <c r="A3574" s="1016" t="s">
        <v>465</v>
      </c>
      <c r="B3574" s="1202" t="s">
        <v>1498</v>
      </c>
      <c r="C3574" s="1203"/>
      <c r="D3574" s="1204"/>
      <c r="E3574" s="194">
        <f>+(5.87+8.77)/2</f>
        <v>7.32</v>
      </c>
      <c r="F3574" s="422" t="s">
        <v>108</v>
      </c>
      <c r="G3574" s="203">
        <v>11238</v>
      </c>
      <c r="H3574" s="136" t="s">
        <v>371</v>
      </c>
      <c r="I3574" s="278"/>
      <c r="J3574" s="186">
        <v>1.1100000000000001</v>
      </c>
      <c r="K3574" s="194">
        <f t="shared" si="62"/>
        <v>91310.997600000002</v>
      </c>
      <c r="L3574" s="422" t="s">
        <v>40</v>
      </c>
      <c r="M3574" s="50"/>
      <c r="N3574" s="50"/>
      <c r="O3574" s="5"/>
      <c r="P3574" s="9"/>
      <c r="Q3574" s="34"/>
      <c r="R3574" s="5"/>
      <c r="S3574" s="35"/>
      <c r="T3574" s="9"/>
      <c r="U3574" s="9"/>
      <c r="V3574" s="9"/>
      <c r="W3574" s="9"/>
      <c r="X3574" s="9"/>
      <c r="Y3574" s="9"/>
      <c r="Z3574" s="9"/>
    </row>
    <row r="3575" spans="1:26" s="396" customFormat="1" ht="30" customHeight="1" x14ac:dyDescent="0.35">
      <c r="A3575" s="1016" t="s">
        <v>465</v>
      </c>
      <c r="B3575" s="1202" t="s">
        <v>1499</v>
      </c>
      <c r="C3575" s="1203"/>
      <c r="D3575" s="1204"/>
      <c r="E3575" s="194">
        <f>+(0.53+1.39)/2</f>
        <v>0.96</v>
      </c>
      <c r="F3575" s="422" t="s">
        <v>108</v>
      </c>
      <c r="G3575" s="203">
        <v>11238</v>
      </c>
      <c r="H3575" s="136" t="s">
        <v>371</v>
      </c>
      <c r="I3575" s="278"/>
      <c r="J3575" s="186">
        <v>1.1100000000000001</v>
      </c>
      <c r="K3575" s="194">
        <f t="shared" si="62"/>
        <v>11975.212799999999</v>
      </c>
      <c r="L3575" s="422" t="s">
        <v>40</v>
      </c>
      <c r="M3575" s="97"/>
      <c r="N3575" s="50"/>
      <c r="O3575" s="5"/>
      <c r="P3575" s="9"/>
      <c r="Q3575" s="34"/>
      <c r="R3575" s="5"/>
      <c r="S3575" s="35"/>
      <c r="T3575" s="9"/>
      <c r="U3575" s="9"/>
      <c r="V3575" s="9"/>
      <c r="W3575" s="9"/>
      <c r="X3575" s="9"/>
      <c r="Y3575" s="9"/>
      <c r="Z3575" s="9"/>
    </row>
    <row r="3576" spans="1:26" s="396" customFormat="1" ht="30" customHeight="1" x14ac:dyDescent="0.35">
      <c r="A3576" s="1016" t="s">
        <v>1491</v>
      </c>
      <c r="B3576" s="1202" t="s">
        <v>2527</v>
      </c>
      <c r="C3576" s="1203"/>
      <c r="D3576" s="1204"/>
      <c r="E3576" s="194">
        <f>21.75+2.86</f>
        <v>24.61</v>
      </c>
      <c r="F3576" s="127" t="s">
        <v>28</v>
      </c>
      <c r="G3576" s="203">
        <v>650</v>
      </c>
      <c r="H3576" s="136" t="s">
        <v>1500</v>
      </c>
      <c r="I3576" s="278"/>
      <c r="J3576" s="186">
        <v>1.1100000000000001</v>
      </c>
      <c r="K3576" s="194">
        <f t="shared" si="62"/>
        <v>17756.115000000002</v>
      </c>
      <c r="L3576" s="186" t="s">
        <v>40</v>
      </c>
      <c r="M3576" s="50"/>
      <c r="N3576" s="50"/>
      <c r="O3576" s="5"/>
      <c r="P3576" s="9"/>
      <c r="Q3576" s="34"/>
      <c r="R3576" s="5"/>
      <c r="S3576" s="35"/>
      <c r="T3576" s="9"/>
      <c r="U3576" s="9"/>
      <c r="V3576" s="9"/>
      <c r="W3576" s="9"/>
      <c r="X3576" s="9"/>
      <c r="Y3576" s="9"/>
      <c r="Z3576" s="9"/>
    </row>
    <row r="3577" spans="1:26" ht="30" customHeight="1" x14ac:dyDescent="0.35">
      <c r="A3577" s="1016" t="s">
        <v>1491</v>
      </c>
      <c r="B3577" s="1212" t="s">
        <v>1501</v>
      </c>
      <c r="C3577" s="1213"/>
      <c r="D3577" s="1214"/>
      <c r="E3577" s="194">
        <v>605</v>
      </c>
      <c r="F3577" s="127" t="s">
        <v>40</v>
      </c>
      <c r="G3577" s="203">
        <v>4</v>
      </c>
      <c r="H3577" s="708" t="s">
        <v>40</v>
      </c>
      <c r="I3577" s="278"/>
      <c r="J3577" s="186">
        <v>1.1100000000000001</v>
      </c>
      <c r="K3577" s="194">
        <f t="shared" si="62"/>
        <v>2686.2000000000003</v>
      </c>
      <c r="L3577" s="186" t="s">
        <v>40</v>
      </c>
      <c r="M3577" s="50"/>
      <c r="N3577" s="50"/>
      <c r="O3577" s="5"/>
      <c r="P3577" s="9"/>
      <c r="Q3577" s="34"/>
      <c r="R3577" s="5"/>
      <c r="S3577" s="35"/>
    </row>
    <row r="3578" spans="1:26" ht="30" customHeight="1" x14ac:dyDescent="0.35">
      <c r="A3578" s="790"/>
      <c r="B3578" s="1211"/>
      <c r="C3578" s="1211"/>
      <c r="D3578" s="1211"/>
      <c r="E3578" s="194"/>
      <c r="F3578" s="186"/>
      <c r="G3578" s="422"/>
      <c r="H3578" s="422"/>
      <c r="I3578" s="186"/>
      <c r="J3578" s="186" t="s">
        <v>223</v>
      </c>
      <c r="K3578" s="194">
        <f>SUM(K3572:K3577)</f>
        <v>1228922.2254000001</v>
      </c>
      <c r="L3578" s="186" t="s">
        <v>40</v>
      </c>
      <c r="M3578" s="50"/>
      <c r="N3578" s="50"/>
      <c r="O3578" s="5"/>
      <c r="P3578" s="9"/>
    </row>
    <row r="3579" spans="1:26" ht="30" customHeight="1" x14ac:dyDescent="0.35">
      <c r="A3579" s="186"/>
      <c r="B3579" s="567"/>
      <c r="C3579" s="567"/>
      <c r="D3579" s="567"/>
      <c r="E3579" s="194"/>
      <c r="F3579" s="1215" t="s">
        <v>195</v>
      </c>
      <c r="G3579" s="1273" t="s">
        <v>196</v>
      </c>
      <c r="H3579" s="1273"/>
      <c r="I3579" s="1273"/>
      <c r="J3579" s="1273"/>
      <c r="K3579" s="196">
        <v>1.06</v>
      </c>
      <c r="L3579" s="186"/>
      <c r="M3579" s="50"/>
      <c r="N3579" s="50"/>
      <c r="O3579" s="5"/>
      <c r="P3579" s="9"/>
    </row>
    <row r="3580" spans="1:26" ht="30" customHeight="1" x14ac:dyDescent="0.35">
      <c r="A3580" s="186"/>
      <c r="B3580" s="567"/>
      <c r="C3580" s="567"/>
      <c r="D3580" s="567"/>
      <c r="E3580" s="194"/>
      <c r="F3580" s="1216"/>
      <c r="G3580" s="1268" t="s">
        <v>2477</v>
      </c>
      <c r="H3580" s="1268"/>
      <c r="I3580" s="1268"/>
      <c r="J3580" s="1268"/>
      <c r="K3580" s="196">
        <v>1.05</v>
      </c>
      <c r="L3580" s="186"/>
      <c r="M3580" s="50"/>
      <c r="N3580" s="50"/>
      <c r="O3580" s="5"/>
      <c r="P3580" s="9"/>
    </row>
    <row r="3581" spans="1:26" ht="30" customHeight="1" x14ac:dyDescent="0.35">
      <c r="A3581" s="186"/>
      <c r="B3581" s="186"/>
      <c r="C3581" s="503"/>
      <c r="D3581" s="503"/>
      <c r="E3581" s="503"/>
      <c r="F3581" s="503"/>
      <c r="G3581" s="503"/>
      <c r="H3581" s="503"/>
      <c r="I3581" s="503"/>
      <c r="J3581" s="186" t="s">
        <v>37</v>
      </c>
      <c r="K3581" s="202">
        <f>+K3578*K3579/K3580</f>
        <v>1240626.2465942858</v>
      </c>
      <c r="L3581" s="186" t="s">
        <v>40</v>
      </c>
      <c r="M3581" s="50"/>
      <c r="O3581" s="5"/>
      <c r="P3581" s="9"/>
    </row>
    <row r="3582" spans="1:26" ht="30" customHeight="1" x14ac:dyDescent="0.35">
      <c r="A3582" s="186"/>
      <c r="B3582" s="186"/>
      <c r="C3582" s="503"/>
      <c r="D3582" s="503"/>
      <c r="E3582" s="503"/>
      <c r="F3582" s="503"/>
      <c r="G3582" s="1198" t="s">
        <v>257</v>
      </c>
      <c r="H3582" s="1198"/>
      <c r="I3582" s="1198"/>
      <c r="J3582" s="560">
        <f>VLOOKUP(B3569,'Mil Cost Premiums for PUCs'!$A$4:$R$285,18,FALSE)</f>
        <v>1.1379589900046172</v>
      </c>
      <c r="K3582" s="193">
        <f>+K3581*J3582</f>
        <v>1411781.7905476526</v>
      </c>
      <c r="L3582" s="186" t="s">
        <v>40</v>
      </c>
      <c r="M3582" s="50"/>
      <c r="N3582" s="50"/>
      <c r="O3582" s="16"/>
      <c r="P3582" s="9"/>
    </row>
    <row r="3583" spans="1:26" ht="30" customHeight="1" thickBot="1" x14ac:dyDescent="0.4">
      <c r="A3583" s="186"/>
      <c r="B3583" s="186"/>
      <c r="C3583" s="503"/>
      <c r="D3583" s="503"/>
      <c r="E3583" s="503"/>
      <c r="F3583" s="503"/>
      <c r="G3583" s="1309" t="s">
        <v>3000</v>
      </c>
      <c r="H3583" s="1310"/>
      <c r="I3583" s="1311"/>
      <c r="J3583" s="560">
        <v>1.0438745311870361</v>
      </c>
      <c r="K3583" s="193">
        <f>+K3582*J3583</f>
        <v>1473723.0547463254</v>
      </c>
      <c r="L3583" s="186" t="s">
        <v>40</v>
      </c>
      <c r="M3583" s="50"/>
      <c r="N3583" s="50"/>
      <c r="O3583" s="5"/>
      <c r="P3583" s="9"/>
    </row>
    <row r="3584" spans="1:26" ht="30" customHeight="1" thickBot="1" x14ac:dyDescent="0.4">
      <c r="A3584" s="1199"/>
      <c r="B3584" s="1200"/>
      <c r="C3584" s="1200"/>
      <c r="D3584" s="1200"/>
      <c r="E3584" s="1200"/>
      <c r="F3584" s="1200"/>
      <c r="G3584" s="1200"/>
      <c r="H3584" s="1200"/>
      <c r="I3584" s="1200"/>
      <c r="J3584" s="1200"/>
      <c r="K3584" s="1200"/>
      <c r="L3584" s="1201"/>
      <c r="M3584" s="50"/>
      <c r="N3584" s="50"/>
      <c r="O3584" s="5"/>
      <c r="P3584" s="9"/>
    </row>
    <row r="3585" spans="1:23" ht="30" customHeight="1" x14ac:dyDescent="0.35">
      <c r="A3585" s="388" t="s">
        <v>1</v>
      </c>
      <c r="B3585" s="389">
        <v>7513</v>
      </c>
      <c r="C3585" s="1205" t="s">
        <v>1502</v>
      </c>
      <c r="D3585" s="1206"/>
      <c r="E3585" s="392" t="s">
        <v>3</v>
      </c>
      <c r="F3585" s="393" t="s">
        <v>40</v>
      </c>
      <c r="G3585" s="520" t="s">
        <v>2</v>
      </c>
      <c r="H3585" s="146">
        <v>1</v>
      </c>
      <c r="I3585" s="392" t="s">
        <v>5</v>
      </c>
      <c r="J3585" s="1207" t="s">
        <v>2481</v>
      </c>
      <c r="K3585" s="1207"/>
      <c r="L3585" s="1208"/>
      <c r="M3585" s="50"/>
      <c r="N3585" s="50"/>
      <c r="O3585" s="5"/>
      <c r="P3585" s="9"/>
    </row>
    <row r="3586" spans="1:23" ht="30" customHeight="1" x14ac:dyDescent="0.35">
      <c r="A3586" s="494" t="s">
        <v>187</v>
      </c>
      <c r="B3586" s="1280" t="s">
        <v>211</v>
      </c>
      <c r="C3586" s="1281"/>
      <c r="D3586" s="1282"/>
      <c r="E3586" s="566" t="s">
        <v>52</v>
      </c>
      <c r="F3586" s="566" t="s">
        <v>53</v>
      </c>
      <c r="G3586" s="1219" t="s">
        <v>54</v>
      </c>
      <c r="H3586" s="1220"/>
      <c r="I3586" s="185" t="s">
        <v>1051</v>
      </c>
      <c r="J3586" s="185" t="s">
        <v>188</v>
      </c>
      <c r="K3586" s="399" t="s">
        <v>180</v>
      </c>
      <c r="L3586" s="400"/>
      <c r="M3586" s="50"/>
      <c r="N3586" s="50"/>
      <c r="O3586" s="5"/>
      <c r="P3586" s="9"/>
    </row>
    <row r="3587" spans="1:23" ht="30" customHeight="1" x14ac:dyDescent="0.35">
      <c r="A3587" s="494"/>
      <c r="B3587" s="373" t="s">
        <v>1503</v>
      </c>
      <c r="C3587" s="564"/>
      <c r="D3587" s="565"/>
      <c r="E3587" s="566"/>
      <c r="F3587" s="566"/>
      <c r="G3587" s="459"/>
      <c r="H3587" s="460"/>
      <c r="I3587" s="278"/>
      <c r="J3587" s="672"/>
      <c r="K3587" s="566"/>
      <c r="L3587" s="566"/>
      <c r="M3587" s="50"/>
      <c r="N3587" s="50"/>
      <c r="P3587" s="9"/>
      <c r="Q3587" s="34"/>
      <c r="R3587" s="5"/>
      <c r="S3587" s="35"/>
    </row>
    <row r="3588" spans="1:23" ht="30" customHeight="1" x14ac:dyDescent="0.35">
      <c r="A3588" s="790" t="s">
        <v>1504</v>
      </c>
      <c r="B3588" s="1202" t="s">
        <v>2529</v>
      </c>
      <c r="C3588" s="1203"/>
      <c r="D3588" s="1204"/>
      <c r="E3588" s="194">
        <f>+(136000+195000)/2</f>
        <v>165500</v>
      </c>
      <c r="F3588" s="422" t="s">
        <v>1505</v>
      </c>
      <c r="G3588" s="127">
        <v>18</v>
      </c>
      <c r="H3588" s="136" t="s">
        <v>1506</v>
      </c>
      <c r="I3588" s="278"/>
      <c r="J3588" s="204">
        <v>1.1100000000000001</v>
      </c>
      <c r="K3588" s="194">
        <f>+E3588*G3588*J3588</f>
        <v>3306690.0000000005</v>
      </c>
      <c r="L3588" s="186" t="s">
        <v>40</v>
      </c>
      <c r="M3588" s="50"/>
      <c r="N3588" s="50"/>
      <c r="P3588" s="9"/>
      <c r="Q3588" s="34"/>
      <c r="R3588" s="5"/>
      <c r="S3588" s="35"/>
    </row>
    <row r="3589" spans="1:23" ht="30" customHeight="1" x14ac:dyDescent="0.35">
      <c r="A3589" s="790" t="s">
        <v>1504</v>
      </c>
      <c r="B3589" s="1202" t="s">
        <v>2528</v>
      </c>
      <c r="C3589" s="1203"/>
      <c r="D3589" s="1204"/>
      <c r="E3589" s="194">
        <f>+(136000+195000)/2</f>
        <v>165500</v>
      </c>
      <c r="F3589" s="422" t="s">
        <v>1505</v>
      </c>
      <c r="G3589" s="127">
        <v>9</v>
      </c>
      <c r="H3589" s="136" t="s">
        <v>1506</v>
      </c>
      <c r="I3589" s="278"/>
      <c r="J3589" s="204">
        <v>1.1100000000000001</v>
      </c>
      <c r="K3589" s="194">
        <f>+E3589*G3589*J3589</f>
        <v>1653345.0000000002</v>
      </c>
      <c r="L3589" s="186" t="s">
        <v>40</v>
      </c>
      <c r="M3589" s="50"/>
      <c r="N3589" s="50"/>
      <c r="P3589" s="9"/>
      <c r="Q3589" s="34"/>
      <c r="R3589" s="5"/>
      <c r="S3589" s="35"/>
    </row>
    <row r="3590" spans="1:23" ht="30" customHeight="1" x14ac:dyDescent="0.35">
      <c r="A3590" s="790"/>
      <c r="B3590" s="186"/>
      <c r="C3590" s="503"/>
      <c r="D3590" s="503"/>
      <c r="E3590" s="194"/>
      <c r="F3590" s="186"/>
      <c r="G3590" s="186"/>
      <c r="H3590" s="186"/>
      <c r="I3590" s="186"/>
      <c r="J3590" s="186" t="s">
        <v>192</v>
      </c>
      <c r="K3590" s="194">
        <f>AVERAGE(K3588:K3589)</f>
        <v>2480017.5000000005</v>
      </c>
      <c r="L3590" s="186" t="s">
        <v>40</v>
      </c>
      <c r="M3590" s="50"/>
      <c r="N3590" s="50"/>
      <c r="P3590" s="9"/>
      <c r="Q3590" s="34"/>
      <c r="R3590" s="5"/>
      <c r="S3590" s="35"/>
    </row>
    <row r="3591" spans="1:23" ht="30" customHeight="1" x14ac:dyDescent="0.35">
      <c r="A3591" s="186"/>
      <c r="B3591" s="567"/>
      <c r="C3591" s="567"/>
      <c r="D3591" s="567"/>
      <c r="E3591" s="194"/>
      <c r="F3591" s="1215" t="s">
        <v>195</v>
      </c>
      <c r="G3591" s="1273" t="s">
        <v>196</v>
      </c>
      <c r="H3591" s="1273"/>
      <c r="I3591" s="1273"/>
      <c r="J3591" s="1273"/>
      <c r="K3591" s="196">
        <v>1.06</v>
      </c>
      <c r="L3591" s="186"/>
      <c r="M3591" s="50"/>
      <c r="N3591" s="50"/>
      <c r="Q3591" s="34"/>
      <c r="R3591" s="5"/>
      <c r="S3591" s="35"/>
      <c r="U3591" s="10"/>
    </row>
    <row r="3592" spans="1:23" ht="30" customHeight="1" x14ac:dyDescent="0.35">
      <c r="A3592" s="186"/>
      <c r="B3592" s="567"/>
      <c r="C3592" s="567"/>
      <c r="D3592" s="567"/>
      <c r="E3592" s="194"/>
      <c r="F3592" s="1216"/>
      <c r="G3592" s="1268" t="s">
        <v>2477</v>
      </c>
      <c r="H3592" s="1268"/>
      <c r="I3592" s="1268"/>
      <c r="J3592" s="1268"/>
      <c r="K3592" s="196">
        <v>1.05</v>
      </c>
      <c r="L3592" s="186"/>
      <c r="M3592" s="50"/>
      <c r="N3592" s="50"/>
      <c r="O3592" s="64"/>
      <c r="Q3592" s="34"/>
      <c r="R3592" s="5"/>
      <c r="S3592" s="35"/>
    </row>
    <row r="3593" spans="1:23" ht="30" customHeight="1" x14ac:dyDescent="0.35">
      <c r="A3593" s="186"/>
      <c r="B3593" s="186"/>
      <c r="C3593" s="503"/>
      <c r="D3593" s="503"/>
      <c r="E3593" s="503"/>
      <c r="F3593" s="503"/>
      <c r="G3593" s="503"/>
      <c r="H3593" s="503"/>
      <c r="I3593" s="503"/>
      <c r="J3593" s="186" t="s">
        <v>37</v>
      </c>
      <c r="K3593" s="193">
        <f>+K3590*K3591/K3592</f>
        <v>2503636.714285715</v>
      </c>
      <c r="L3593" s="186" t="s">
        <v>40</v>
      </c>
      <c r="M3593" s="50"/>
      <c r="N3593" s="50"/>
      <c r="O3593" s="5"/>
      <c r="P3593" s="9"/>
      <c r="Q3593" s="34"/>
      <c r="R3593" s="5"/>
      <c r="S3593" s="35"/>
      <c r="U3593" s="10"/>
    </row>
    <row r="3594" spans="1:23" ht="30" customHeight="1" x14ac:dyDescent="0.35">
      <c r="A3594" s="186"/>
      <c r="B3594" s="186"/>
      <c r="C3594" s="503"/>
      <c r="D3594" s="503"/>
      <c r="E3594" s="503"/>
      <c r="F3594" s="503"/>
      <c r="G3594" s="1194" t="s">
        <v>257</v>
      </c>
      <c r="H3594" s="1195"/>
      <c r="I3594" s="1196"/>
      <c r="J3594" s="560">
        <f>VLOOKUP(B3585,'Mil Cost Premiums for PUCs'!$A$4:$R$285,18,FALSE)</f>
        <v>1.1199953840399997</v>
      </c>
      <c r="K3594" s="193">
        <f>+K3593*J3594</f>
        <v>2804061.5633130721</v>
      </c>
      <c r="L3594" s="186" t="s">
        <v>40</v>
      </c>
      <c r="M3594" s="50"/>
      <c r="N3594" s="50"/>
      <c r="O3594" s="64"/>
      <c r="Q3594" s="35"/>
      <c r="R3594" s="5"/>
      <c r="U3594" s="10"/>
    </row>
    <row r="3595" spans="1:23" ht="30" customHeight="1" thickBot="1" x14ac:dyDescent="0.4">
      <c r="A3595" s="186"/>
      <c r="B3595" s="186"/>
      <c r="C3595" s="503"/>
      <c r="D3595" s="503"/>
      <c r="E3595" s="503"/>
      <c r="F3595" s="503"/>
      <c r="G3595" s="1309" t="s">
        <v>3000</v>
      </c>
      <c r="H3595" s="1310"/>
      <c r="I3595" s="1311"/>
      <c r="J3595" s="560">
        <v>1.0438745311870361</v>
      </c>
      <c r="K3595" s="193">
        <f>+K3594*J3595</f>
        <v>2927088.4498230205</v>
      </c>
      <c r="L3595" s="186" t="s">
        <v>40</v>
      </c>
      <c r="M3595" s="50"/>
      <c r="N3595" s="50"/>
      <c r="O3595" s="5"/>
      <c r="P3595" s="9"/>
      <c r="T3595" s="10"/>
    </row>
    <row r="3596" spans="1:23" ht="30" customHeight="1" thickBot="1" x14ac:dyDescent="0.4">
      <c r="A3596" s="1199"/>
      <c r="B3596" s="1200"/>
      <c r="C3596" s="1200"/>
      <c r="D3596" s="1200"/>
      <c r="E3596" s="1200"/>
      <c r="F3596" s="1200"/>
      <c r="G3596" s="1200"/>
      <c r="H3596" s="1200"/>
      <c r="I3596" s="1200"/>
      <c r="J3596" s="1200"/>
      <c r="K3596" s="1200"/>
      <c r="L3596" s="1201"/>
      <c r="M3596" s="50"/>
      <c r="N3596" s="50"/>
      <c r="O3596" s="5"/>
      <c r="P3596" s="384"/>
      <c r="T3596" s="10"/>
      <c r="U3596" s="396"/>
    </row>
    <row r="3597" spans="1:23" ht="30" customHeight="1" x14ac:dyDescent="0.35">
      <c r="A3597" s="388" t="s">
        <v>1</v>
      </c>
      <c r="B3597" s="389">
        <v>7514</v>
      </c>
      <c r="C3597" s="1205" t="s">
        <v>1507</v>
      </c>
      <c r="D3597" s="1206"/>
      <c r="E3597" s="392" t="s">
        <v>3</v>
      </c>
      <c r="F3597" s="393" t="s">
        <v>40</v>
      </c>
      <c r="G3597" s="520" t="s">
        <v>2</v>
      </c>
      <c r="H3597" s="146">
        <v>1</v>
      </c>
      <c r="I3597" s="392" t="s">
        <v>5</v>
      </c>
      <c r="J3597" s="1207" t="s">
        <v>2874</v>
      </c>
      <c r="K3597" s="1207"/>
      <c r="L3597" s="1208"/>
      <c r="M3597" s="50"/>
      <c r="N3597" s="50"/>
      <c r="O3597" s="5"/>
      <c r="P3597" s="384"/>
      <c r="T3597" s="10"/>
      <c r="U3597" s="396"/>
      <c r="V3597" s="396"/>
      <c r="W3597" s="396"/>
    </row>
    <row r="3598" spans="1:23" ht="30" customHeight="1" x14ac:dyDescent="0.35">
      <c r="A3598" s="494" t="s">
        <v>187</v>
      </c>
      <c r="B3598" s="1280" t="s">
        <v>211</v>
      </c>
      <c r="C3598" s="1281"/>
      <c r="D3598" s="1282"/>
      <c r="E3598" s="566" t="s">
        <v>52</v>
      </c>
      <c r="F3598" s="566" t="s">
        <v>53</v>
      </c>
      <c r="G3598" s="1618" t="s">
        <v>54</v>
      </c>
      <c r="H3598" s="1619"/>
      <c r="I3598" s="185" t="s">
        <v>188</v>
      </c>
      <c r="J3598" s="185"/>
      <c r="K3598" s="399" t="s">
        <v>180</v>
      </c>
      <c r="L3598" s="400"/>
      <c r="M3598" s="50"/>
      <c r="N3598" s="97"/>
    </row>
    <row r="3599" spans="1:23" ht="30" customHeight="1" x14ac:dyDescent="0.35">
      <c r="A3599" s="790" t="s">
        <v>1508</v>
      </c>
      <c r="B3599" s="1211" t="s">
        <v>1509</v>
      </c>
      <c r="C3599" s="1211"/>
      <c r="D3599" s="1211"/>
      <c r="E3599" s="194">
        <f>+(9250+13500)/2</f>
        <v>11375</v>
      </c>
      <c r="F3599" s="127" t="s">
        <v>1510</v>
      </c>
      <c r="G3599" s="127">
        <v>20</v>
      </c>
      <c r="H3599" s="714" t="s">
        <v>1511</v>
      </c>
      <c r="I3599" s="204">
        <v>1.0900000000000001</v>
      </c>
      <c r="J3599" s="186"/>
      <c r="K3599" s="194">
        <f>+E3599*G3599*I3599</f>
        <v>247975.00000000003</v>
      </c>
      <c r="L3599" s="186" t="s">
        <v>40</v>
      </c>
      <c r="M3599" s="50"/>
      <c r="N3599" s="50"/>
      <c r="O3599" s="5"/>
      <c r="P3599" s="384"/>
      <c r="U3599" s="396"/>
      <c r="V3599" s="396"/>
      <c r="W3599" s="396"/>
    </row>
    <row r="3600" spans="1:23" ht="30" customHeight="1" x14ac:dyDescent="0.35">
      <c r="A3600" s="186"/>
      <c r="B3600" s="567"/>
      <c r="C3600" s="567"/>
      <c r="D3600" s="567"/>
      <c r="E3600" s="194"/>
      <c r="F3600" s="1215" t="s">
        <v>195</v>
      </c>
      <c r="G3600" s="1273" t="s">
        <v>196</v>
      </c>
      <c r="H3600" s="1273"/>
      <c r="I3600" s="1273"/>
      <c r="J3600" s="1273"/>
      <c r="K3600" s="196">
        <v>1.05</v>
      </c>
      <c r="L3600" s="186"/>
      <c r="M3600" s="50"/>
      <c r="N3600" s="50"/>
      <c r="O3600" s="5"/>
      <c r="P3600" s="384"/>
      <c r="Q3600" s="396"/>
      <c r="R3600" s="396"/>
      <c r="S3600" s="396"/>
      <c r="T3600" s="396"/>
      <c r="U3600" s="396"/>
      <c r="V3600" s="396"/>
      <c r="W3600" s="396"/>
    </row>
    <row r="3601" spans="1:23" ht="30" customHeight="1" x14ac:dyDescent="0.35">
      <c r="A3601" s="186"/>
      <c r="B3601" s="567"/>
      <c r="C3601" s="567"/>
      <c r="D3601" s="567"/>
      <c r="E3601" s="194"/>
      <c r="F3601" s="1216"/>
      <c r="G3601" s="1268" t="s">
        <v>2875</v>
      </c>
      <c r="H3601" s="1268"/>
      <c r="I3601" s="1268"/>
      <c r="J3601" s="1268"/>
      <c r="K3601" s="196">
        <v>1.07</v>
      </c>
      <c r="L3601" s="186"/>
      <c r="M3601" s="50"/>
      <c r="N3601" s="50"/>
      <c r="O3601" s="5"/>
      <c r="P3601" s="384"/>
      <c r="Q3601" s="396"/>
      <c r="R3601" s="396"/>
      <c r="S3601" s="396"/>
      <c r="T3601" s="396"/>
      <c r="U3601" s="396"/>
      <c r="V3601" s="396"/>
      <c r="W3601" s="396"/>
    </row>
    <row r="3602" spans="1:23" ht="30" customHeight="1" x14ac:dyDescent="0.35">
      <c r="A3602" s="186"/>
      <c r="B3602" s="186"/>
      <c r="C3602" s="503"/>
      <c r="D3602" s="503"/>
      <c r="E3602" s="503"/>
      <c r="F3602" s="503"/>
      <c r="G3602" s="503"/>
      <c r="H3602" s="503"/>
      <c r="I3602" s="503"/>
      <c r="J3602" s="186" t="s">
        <v>37</v>
      </c>
      <c r="K3602" s="193">
        <f>+K3599*K3600/K3601</f>
        <v>243339.95327102806</v>
      </c>
      <c r="L3602" s="186" t="s">
        <v>40</v>
      </c>
      <c r="M3602" s="50"/>
      <c r="N3602" s="50"/>
      <c r="O3602" s="5"/>
      <c r="Q3602" s="396"/>
      <c r="R3602" s="396"/>
      <c r="S3602" s="396"/>
      <c r="T3602" s="396"/>
      <c r="U3602" s="10"/>
    </row>
    <row r="3603" spans="1:23" ht="30" customHeight="1" thickBot="1" x14ac:dyDescent="0.4">
      <c r="A3603" s="186"/>
      <c r="B3603" s="186"/>
      <c r="C3603" s="503"/>
      <c r="D3603" s="503"/>
      <c r="E3603" s="503"/>
      <c r="F3603" s="503"/>
      <c r="G3603" s="1194" t="s">
        <v>257</v>
      </c>
      <c r="H3603" s="1195"/>
      <c r="I3603" s="1196"/>
      <c r="J3603" s="560">
        <f>VLOOKUP(B3597,'Mil Cost Premiums for PUCs'!$A$4:$R$285,18,FALSE)</f>
        <v>1.1199953840399997</v>
      </c>
      <c r="K3603" s="193">
        <f>+K3602*J3603</f>
        <v>272539.62441606063</v>
      </c>
      <c r="L3603" s="186" t="s">
        <v>40</v>
      </c>
      <c r="M3603" s="50"/>
      <c r="N3603" s="50"/>
      <c r="O3603" s="5"/>
      <c r="Q3603" s="396"/>
      <c r="R3603" s="396"/>
      <c r="S3603" s="396"/>
      <c r="T3603" s="396"/>
    </row>
    <row r="3604" spans="1:23" ht="30" customHeight="1" thickBot="1" x14ac:dyDescent="0.4">
      <c r="A3604" s="1199"/>
      <c r="B3604" s="1200"/>
      <c r="C3604" s="1200"/>
      <c r="D3604" s="1200"/>
      <c r="E3604" s="1200"/>
      <c r="F3604" s="1200"/>
      <c r="G3604" s="1200"/>
      <c r="H3604" s="1200"/>
      <c r="I3604" s="1200"/>
      <c r="J3604" s="1200"/>
      <c r="K3604" s="1200"/>
      <c r="L3604" s="1201"/>
      <c r="N3604" s="50"/>
      <c r="O3604" s="5"/>
      <c r="P3604" s="9"/>
      <c r="Q3604" s="34"/>
      <c r="R3604" s="5"/>
      <c r="S3604" s="35"/>
      <c r="U3604" s="10"/>
    </row>
    <row r="3605" spans="1:23" ht="30" customHeight="1" x14ac:dyDescent="0.35">
      <c r="A3605" s="388" t="s">
        <v>1</v>
      </c>
      <c r="B3605" s="389">
        <v>7515</v>
      </c>
      <c r="C3605" s="1205" t="s">
        <v>1512</v>
      </c>
      <c r="D3605" s="1206"/>
      <c r="E3605" s="392" t="s">
        <v>3</v>
      </c>
      <c r="F3605" s="393" t="s">
        <v>40</v>
      </c>
      <c r="G3605" s="520" t="s">
        <v>2</v>
      </c>
      <c r="H3605" s="146">
        <v>1</v>
      </c>
      <c r="I3605" s="392" t="s">
        <v>5</v>
      </c>
      <c r="J3605" s="1207" t="s">
        <v>2874</v>
      </c>
      <c r="K3605" s="1207"/>
      <c r="L3605" s="1208"/>
      <c r="M3605" s="50"/>
      <c r="N3605" s="64"/>
      <c r="P3605" s="9"/>
      <c r="Q3605" s="396"/>
      <c r="R3605" s="396"/>
      <c r="S3605" s="396"/>
      <c r="T3605" s="396"/>
    </row>
    <row r="3606" spans="1:23" ht="30" customHeight="1" x14ac:dyDescent="0.35">
      <c r="A3606" s="494" t="s">
        <v>187</v>
      </c>
      <c r="B3606" s="1280" t="s">
        <v>211</v>
      </c>
      <c r="C3606" s="1281"/>
      <c r="D3606" s="1282"/>
      <c r="E3606" s="566" t="s">
        <v>52</v>
      </c>
      <c r="F3606" s="566" t="s">
        <v>53</v>
      </c>
      <c r="G3606" s="1219" t="s">
        <v>54</v>
      </c>
      <c r="H3606" s="1220"/>
      <c r="I3606" s="185" t="s">
        <v>188</v>
      </c>
      <c r="J3606" s="185"/>
      <c r="K3606" s="399" t="s">
        <v>180</v>
      </c>
      <c r="L3606" s="400"/>
      <c r="M3606" s="50"/>
      <c r="N3606" s="64"/>
      <c r="P3606" s="9"/>
      <c r="T3606" s="10"/>
    </row>
    <row r="3607" spans="1:23" ht="30" customHeight="1" x14ac:dyDescent="0.35">
      <c r="A3607" s="790" t="s">
        <v>1508</v>
      </c>
      <c r="B3607" s="1202" t="s">
        <v>1513</v>
      </c>
      <c r="C3607" s="1203"/>
      <c r="D3607" s="1204"/>
      <c r="E3607" s="194">
        <f>+(50500+71500)/2</f>
        <v>61000</v>
      </c>
      <c r="F3607" s="422" t="s">
        <v>1505</v>
      </c>
      <c r="G3607" s="127">
        <v>1</v>
      </c>
      <c r="H3607" s="136" t="s">
        <v>2892</v>
      </c>
      <c r="I3607" s="204">
        <v>1.0900000000000001</v>
      </c>
      <c r="J3607" s="186"/>
      <c r="K3607" s="194">
        <f>+E3607*G3607*I3607</f>
        <v>66490</v>
      </c>
      <c r="L3607" s="186" t="s">
        <v>40</v>
      </c>
      <c r="M3607" s="50"/>
      <c r="N3607" s="50"/>
      <c r="P3607" s="9"/>
      <c r="T3607" s="10"/>
    </row>
    <row r="3608" spans="1:23" ht="30" customHeight="1" x14ac:dyDescent="0.35">
      <c r="A3608" s="186"/>
      <c r="B3608" s="567"/>
      <c r="C3608" s="567"/>
      <c r="D3608" s="567"/>
      <c r="E3608" s="194"/>
      <c r="F3608" s="1215" t="s">
        <v>195</v>
      </c>
      <c r="G3608" s="1273" t="s">
        <v>196</v>
      </c>
      <c r="H3608" s="1273"/>
      <c r="I3608" s="1273"/>
      <c r="J3608" s="1273"/>
      <c r="K3608" s="196">
        <v>1.05</v>
      </c>
      <c r="L3608" s="186"/>
      <c r="M3608" s="50"/>
      <c r="N3608" s="50"/>
      <c r="O3608" s="572"/>
      <c r="P3608" s="9"/>
      <c r="Q3608" s="34"/>
      <c r="R3608" s="5"/>
      <c r="S3608" s="35"/>
    </row>
    <row r="3609" spans="1:23" ht="30" customHeight="1" x14ac:dyDescent="0.35">
      <c r="A3609" s="186"/>
      <c r="B3609" s="567"/>
      <c r="C3609" s="567"/>
      <c r="D3609" s="567"/>
      <c r="E3609" s="194"/>
      <c r="F3609" s="1216"/>
      <c r="G3609" s="1268" t="s">
        <v>2875</v>
      </c>
      <c r="H3609" s="1268"/>
      <c r="I3609" s="1268"/>
      <c r="J3609" s="1268"/>
      <c r="K3609" s="196">
        <v>1.07</v>
      </c>
      <c r="L3609" s="186"/>
      <c r="M3609" s="50"/>
      <c r="N3609" s="50"/>
      <c r="O3609" s="572"/>
      <c r="P3609" s="9"/>
      <c r="Q3609" s="34"/>
      <c r="R3609" s="5"/>
      <c r="S3609" s="35"/>
    </row>
    <row r="3610" spans="1:23" ht="30" customHeight="1" x14ac:dyDescent="0.35">
      <c r="A3610" s="790"/>
      <c r="B3610" s="127"/>
      <c r="C3610" s="711"/>
      <c r="D3610" s="712"/>
      <c r="E3610" s="194"/>
      <c r="F3610" s="707"/>
      <c r="G3610" s="127"/>
      <c r="H3610" s="136"/>
      <c r="I3610" s="136"/>
      <c r="J3610" s="186" t="s">
        <v>37</v>
      </c>
      <c r="K3610" s="193">
        <f>+K3607*K3608/K3609</f>
        <v>65247.196261682242</v>
      </c>
      <c r="L3610" s="186" t="s">
        <v>40</v>
      </c>
      <c r="M3610" s="50"/>
      <c r="O3610" s="572"/>
      <c r="P3610" s="9"/>
      <c r="Q3610" s="34"/>
      <c r="R3610" s="5"/>
      <c r="S3610" s="35"/>
    </row>
    <row r="3611" spans="1:23" ht="30" customHeight="1" thickBot="1" x14ac:dyDescent="0.4">
      <c r="A3611" s="186"/>
      <c r="B3611" s="186"/>
      <c r="C3611" s="503"/>
      <c r="D3611" s="503"/>
      <c r="E3611" s="503"/>
      <c r="F3611" s="503"/>
      <c r="G3611" s="1194" t="s">
        <v>257</v>
      </c>
      <c r="H3611" s="1195"/>
      <c r="I3611" s="1196"/>
      <c r="J3611" s="560">
        <f>VLOOKUP(B3605,'Mil Cost Premiums for PUCs'!$A$4:$R$285,18,FALSE)</f>
        <v>1.0905505199999999</v>
      </c>
      <c r="K3611" s="193">
        <f>+K3610*J3611</f>
        <v>71155.36381171961</v>
      </c>
      <c r="L3611" s="186" t="s">
        <v>40</v>
      </c>
      <c r="M3611" s="50"/>
      <c r="N3611" s="50"/>
      <c r="O3611" s="572"/>
      <c r="P3611" s="9"/>
      <c r="Q3611" s="34"/>
      <c r="R3611" s="5"/>
      <c r="S3611" s="35"/>
    </row>
    <row r="3612" spans="1:23" ht="30" customHeight="1" thickBot="1" x14ac:dyDescent="0.4">
      <c r="A3612" s="1199"/>
      <c r="B3612" s="1200"/>
      <c r="C3612" s="1200"/>
      <c r="D3612" s="1200"/>
      <c r="E3612" s="1200"/>
      <c r="F3612" s="1200"/>
      <c r="G3612" s="1200"/>
      <c r="H3612" s="1200"/>
      <c r="I3612" s="1200"/>
      <c r="J3612" s="1200"/>
      <c r="K3612" s="1200"/>
      <c r="L3612" s="1201"/>
      <c r="N3612" s="50"/>
      <c r="O3612" s="5"/>
      <c r="P3612" s="9"/>
      <c r="Q3612" s="34"/>
      <c r="R3612" s="5"/>
      <c r="S3612" s="35"/>
    </row>
    <row r="3613" spans="1:23" ht="30" customHeight="1" x14ac:dyDescent="0.35">
      <c r="A3613" s="388" t="s">
        <v>1</v>
      </c>
      <c r="B3613" s="389">
        <v>7516</v>
      </c>
      <c r="C3613" s="1345" t="s">
        <v>1514</v>
      </c>
      <c r="D3613" s="1346"/>
      <c r="E3613" s="390" t="s">
        <v>2</v>
      </c>
      <c r="F3613" s="391">
        <v>1</v>
      </c>
      <c r="G3613" s="392" t="s">
        <v>3</v>
      </c>
      <c r="H3613" s="393" t="s">
        <v>40</v>
      </c>
      <c r="I3613" s="392" t="s">
        <v>5</v>
      </c>
      <c r="J3613" s="1304" t="s">
        <v>2801</v>
      </c>
      <c r="K3613" s="1305"/>
      <c r="L3613" s="1306"/>
      <c r="M3613" s="97"/>
      <c r="N3613" s="50"/>
      <c r="O3613" s="572"/>
      <c r="P3613" s="9"/>
      <c r="Q3613" s="34"/>
      <c r="R3613" s="5"/>
      <c r="S3613" s="35"/>
    </row>
    <row r="3614" spans="1:23" ht="30" customHeight="1" x14ac:dyDescent="0.35">
      <c r="A3614" s="185"/>
      <c r="B3614" s="1272" t="s">
        <v>7</v>
      </c>
      <c r="C3614" s="1272"/>
      <c r="D3614" s="1272"/>
      <c r="E3614" s="185" t="s">
        <v>52</v>
      </c>
      <c r="F3614" s="185" t="s">
        <v>53</v>
      </c>
      <c r="G3614" s="1219" t="s">
        <v>54</v>
      </c>
      <c r="H3614" s="1220"/>
      <c r="I3614" s="185" t="s">
        <v>55</v>
      </c>
      <c r="J3614" s="185" t="s">
        <v>56</v>
      </c>
      <c r="K3614" s="1209" t="s">
        <v>37</v>
      </c>
      <c r="L3614" s="1210"/>
      <c r="M3614" s="97"/>
      <c r="N3614" s="50"/>
      <c r="P3614" s="9"/>
      <c r="Q3614" s="34"/>
      <c r="R3614" s="5"/>
      <c r="S3614" s="35"/>
    </row>
    <row r="3615" spans="1:23" ht="30" customHeight="1" thickBot="1" x14ac:dyDescent="0.4">
      <c r="A3615" s="407"/>
      <c r="B3615" s="1446" t="s">
        <v>2800</v>
      </c>
      <c r="C3615" s="1446"/>
      <c r="D3615" s="1446"/>
      <c r="E3615" s="469">
        <v>23144.771706</v>
      </c>
      <c r="F3615" s="188" t="s">
        <v>40</v>
      </c>
      <c r="G3615" s="1332"/>
      <c r="H3615" s="1333"/>
      <c r="I3615" s="188"/>
      <c r="J3615" s="1071">
        <f>+'FY2024 MILCON Inflation Table'!F18</f>
        <v>1.1706170972389343</v>
      </c>
      <c r="K3615" s="471">
        <f>E3615*J3615</f>
        <v>27093.665470735537</v>
      </c>
      <c r="L3615" s="188" t="s">
        <v>40</v>
      </c>
      <c r="M3615" s="50"/>
      <c r="N3615" s="50"/>
      <c r="P3615" s="9"/>
      <c r="Q3615" s="34"/>
      <c r="R3615" s="5"/>
      <c r="S3615" s="35"/>
    </row>
    <row r="3616" spans="1:23" ht="30" customHeight="1" thickBot="1" x14ac:dyDescent="0.4">
      <c r="A3616" s="1199"/>
      <c r="B3616" s="1200"/>
      <c r="C3616" s="1200"/>
      <c r="D3616" s="1200"/>
      <c r="E3616" s="1200"/>
      <c r="F3616" s="1200"/>
      <c r="G3616" s="1200"/>
      <c r="H3616" s="1200"/>
      <c r="I3616" s="1200"/>
      <c r="J3616" s="1200"/>
      <c r="K3616" s="1200"/>
      <c r="L3616" s="1201"/>
      <c r="M3616" s="96"/>
      <c r="N3616" s="50"/>
      <c r="O3616" s="5"/>
      <c r="P3616" s="9"/>
      <c r="Q3616" s="34"/>
      <c r="R3616" s="5"/>
      <c r="S3616" s="35"/>
    </row>
    <row r="3617" spans="1:26" ht="30" customHeight="1" x14ac:dyDescent="0.35">
      <c r="A3617" s="388" t="s">
        <v>1</v>
      </c>
      <c r="B3617" s="389">
        <v>7517</v>
      </c>
      <c r="C3617" s="1205" t="s">
        <v>1515</v>
      </c>
      <c r="D3617" s="1206"/>
      <c r="E3617" s="392" t="s">
        <v>3</v>
      </c>
      <c r="F3617" s="393" t="s">
        <v>40</v>
      </c>
      <c r="G3617" s="520" t="s">
        <v>2</v>
      </c>
      <c r="H3617" s="146">
        <v>1</v>
      </c>
      <c r="I3617" s="392" t="s">
        <v>5</v>
      </c>
      <c r="J3617" s="1207" t="s">
        <v>2874</v>
      </c>
      <c r="K3617" s="1207"/>
      <c r="L3617" s="1208"/>
      <c r="M3617" s="50"/>
      <c r="N3617" s="96"/>
    </row>
    <row r="3618" spans="1:26" ht="30" customHeight="1" x14ac:dyDescent="0.35">
      <c r="A3618" s="494" t="s">
        <v>187</v>
      </c>
      <c r="B3618" s="1280" t="s">
        <v>211</v>
      </c>
      <c r="C3618" s="1281"/>
      <c r="D3618" s="1282"/>
      <c r="E3618" s="566" t="s">
        <v>52</v>
      </c>
      <c r="F3618" s="566" t="s">
        <v>53</v>
      </c>
      <c r="G3618" s="1219" t="s">
        <v>54</v>
      </c>
      <c r="H3618" s="1220"/>
      <c r="I3618" s="185" t="s">
        <v>188</v>
      </c>
      <c r="J3618" s="185"/>
      <c r="K3618" s="399" t="s">
        <v>180</v>
      </c>
      <c r="L3618" s="400"/>
      <c r="M3618" s="50"/>
      <c r="N3618" s="50"/>
      <c r="O3618" s="5"/>
      <c r="P3618" s="9"/>
      <c r="Q3618" s="34"/>
      <c r="R3618" s="5"/>
      <c r="S3618" s="35"/>
    </row>
    <row r="3619" spans="1:26" ht="30" customHeight="1" x14ac:dyDescent="0.35">
      <c r="A3619" s="494"/>
      <c r="B3619" s="1202" t="s">
        <v>1516</v>
      </c>
      <c r="C3619" s="1203"/>
      <c r="D3619" s="1204"/>
      <c r="E3619" s="566"/>
      <c r="F3619" s="566"/>
      <c r="G3619" s="459"/>
      <c r="H3619" s="460"/>
      <c r="I3619" s="672"/>
      <c r="J3619" s="672"/>
      <c r="K3619" s="566"/>
      <c r="L3619" s="566"/>
      <c r="M3619" s="50"/>
      <c r="N3619" s="50"/>
      <c r="O3619" s="5"/>
      <c r="P3619" s="9"/>
      <c r="Q3619" s="34"/>
      <c r="R3619" s="5"/>
      <c r="S3619" s="35"/>
    </row>
    <row r="3620" spans="1:26" ht="30" customHeight="1" x14ac:dyDescent="0.35">
      <c r="A3620" s="790" t="s">
        <v>189</v>
      </c>
      <c r="B3620" s="1212" t="s">
        <v>1517</v>
      </c>
      <c r="C3620" s="1213"/>
      <c r="D3620" s="1214"/>
      <c r="E3620" s="194">
        <f>+(35.5+56.5)/2</f>
        <v>46</v>
      </c>
      <c r="F3620" s="422" t="s">
        <v>108</v>
      </c>
      <c r="G3620" s="127">
        <v>240</v>
      </c>
      <c r="H3620" s="136" t="s">
        <v>371</v>
      </c>
      <c r="I3620" s="204">
        <v>1.0900000000000001</v>
      </c>
      <c r="J3620" s="186"/>
      <c r="K3620" s="194">
        <f>+E3620*G3620*I3620</f>
        <v>12033.6</v>
      </c>
      <c r="L3620" s="186" t="s">
        <v>40</v>
      </c>
      <c r="M3620" s="50"/>
      <c r="N3620" s="50"/>
      <c r="O3620" s="5"/>
      <c r="P3620" s="9"/>
      <c r="Q3620" s="34"/>
      <c r="R3620" s="5"/>
      <c r="S3620" s="35"/>
    </row>
    <row r="3621" spans="1:26" ht="30" customHeight="1" x14ac:dyDescent="0.35">
      <c r="A3621" s="186"/>
      <c r="B3621" s="900"/>
      <c r="C3621" s="900"/>
      <c r="D3621" s="900"/>
      <c r="E3621" s="194"/>
      <c r="F3621" s="1215" t="s">
        <v>195</v>
      </c>
      <c r="G3621" s="1273" t="s">
        <v>196</v>
      </c>
      <c r="H3621" s="1273"/>
      <c r="I3621" s="1273"/>
      <c r="J3621" s="1273"/>
      <c r="K3621" s="196">
        <v>1.05</v>
      </c>
      <c r="L3621" s="186"/>
      <c r="M3621" s="97"/>
      <c r="N3621" s="50"/>
      <c r="O3621" s="5"/>
      <c r="P3621" s="9"/>
      <c r="Q3621" s="34"/>
      <c r="R3621" s="5"/>
      <c r="S3621" s="35"/>
    </row>
    <row r="3622" spans="1:26" ht="30" customHeight="1" x14ac:dyDescent="0.35">
      <c r="A3622" s="127"/>
      <c r="B3622" s="908"/>
      <c r="C3622" s="908"/>
      <c r="D3622" s="908"/>
      <c r="E3622" s="138"/>
      <c r="F3622" s="1216"/>
      <c r="G3622" s="1268" t="s">
        <v>2875</v>
      </c>
      <c r="H3622" s="1268"/>
      <c r="I3622" s="1268"/>
      <c r="J3622" s="1268"/>
      <c r="K3622" s="196">
        <v>1.07</v>
      </c>
      <c r="L3622" s="186"/>
      <c r="M3622" s="50"/>
      <c r="N3622" s="50"/>
      <c r="O3622" s="5"/>
      <c r="P3622" s="9"/>
      <c r="Q3622" s="34"/>
      <c r="R3622" s="5"/>
      <c r="S3622" s="35"/>
    </row>
    <row r="3623" spans="1:26" s="396" customFormat="1" ht="30" customHeight="1" x14ac:dyDescent="0.35">
      <c r="A3623" s="1072"/>
      <c r="B3623" s="897"/>
      <c r="C3623" s="901"/>
      <c r="D3623" s="901"/>
      <c r="E3623" s="138"/>
      <c r="F3623" s="707"/>
      <c r="G3623" s="127"/>
      <c r="H3623" s="136"/>
      <c r="I3623" s="136"/>
      <c r="J3623" s="186" t="s">
        <v>37</v>
      </c>
      <c r="K3623" s="193">
        <f>+K3620*K3621/K3622</f>
        <v>11808.672897196262</v>
      </c>
      <c r="L3623" s="186" t="s">
        <v>40</v>
      </c>
      <c r="M3623" s="50"/>
      <c r="N3623" s="50"/>
      <c r="O3623" s="5"/>
      <c r="P3623" s="9"/>
      <c r="Q3623" s="34"/>
      <c r="R3623" s="5"/>
      <c r="S3623" s="35"/>
      <c r="T3623" s="9"/>
      <c r="U3623" s="9"/>
      <c r="V3623" s="9"/>
      <c r="W3623" s="9"/>
      <c r="X3623" s="9"/>
      <c r="Y3623" s="9"/>
      <c r="Z3623" s="9"/>
    </row>
    <row r="3624" spans="1:26" s="396" customFormat="1" ht="30" customHeight="1" thickBot="1" x14ac:dyDescent="0.4">
      <c r="A3624" s="127"/>
      <c r="B3624" s="897"/>
      <c r="C3624" s="901"/>
      <c r="D3624" s="901"/>
      <c r="E3624" s="712"/>
      <c r="F3624" s="503"/>
      <c r="G3624" s="1194" t="s">
        <v>257</v>
      </c>
      <c r="H3624" s="1195"/>
      <c r="I3624" s="1196"/>
      <c r="J3624" s="835">
        <f>VLOOKUP(B3617,'Mil Cost Premiums for PUCs'!$A$4:$R$285,18,FALSE)</f>
        <v>1.0209999999999999</v>
      </c>
      <c r="K3624" s="193">
        <f>+K3623*J3624</f>
        <v>12056.655028037383</v>
      </c>
      <c r="L3624" s="186" t="s">
        <v>40</v>
      </c>
      <c r="M3624" s="50"/>
      <c r="N3624" s="50"/>
      <c r="O3624" s="64"/>
      <c r="P3624" s="9"/>
      <c r="Q3624" s="34"/>
      <c r="R3624" s="5"/>
      <c r="S3624" s="35"/>
      <c r="T3624" s="9"/>
      <c r="U3624" s="9"/>
      <c r="V3624" s="9"/>
      <c r="W3624" s="9"/>
      <c r="X3624" s="9"/>
      <c r="Y3624" s="9"/>
      <c r="Z3624" s="9"/>
    </row>
    <row r="3625" spans="1:26" s="396" customFormat="1" ht="30" customHeight="1" thickBot="1" x14ac:dyDescent="0.4">
      <c r="A3625" s="1199"/>
      <c r="B3625" s="1200"/>
      <c r="C3625" s="1200"/>
      <c r="D3625" s="1200"/>
      <c r="E3625" s="1200"/>
      <c r="F3625" s="1200"/>
      <c r="G3625" s="1200"/>
      <c r="H3625" s="1200"/>
      <c r="I3625" s="1200"/>
      <c r="J3625" s="1200"/>
      <c r="K3625" s="1200"/>
      <c r="L3625" s="1201"/>
      <c r="M3625" s="11"/>
      <c r="N3625" s="50"/>
      <c r="O3625" s="64"/>
      <c r="P3625" s="9"/>
      <c r="Q3625" s="34"/>
      <c r="R3625" s="5"/>
      <c r="S3625" s="35"/>
      <c r="T3625" s="9"/>
      <c r="U3625" s="9"/>
      <c r="V3625" s="9"/>
      <c r="W3625" s="9"/>
      <c r="X3625" s="9"/>
      <c r="Y3625" s="9"/>
      <c r="Z3625" s="9"/>
    </row>
    <row r="3626" spans="1:26" ht="30" customHeight="1" x14ac:dyDescent="0.35">
      <c r="A3626" s="388" t="s">
        <v>1</v>
      </c>
      <c r="B3626" s="389">
        <v>7518</v>
      </c>
      <c r="C3626" s="1205" t="s">
        <v>1518</v>
      </c>
      <c r="D3626" s="1206"/>
      <c r="E3626" s="392" t="s">
        <v>3</v>
      </c>
      <c r="F3626" s="393" t="s">
        <v>40</v>
      </c>
      <c r="G3626" s="520" t="s">
        <v>2</v>
      </c>
      <c r="H3626" s="146">
        <v>1</v>
      </c>
      <c r="I3626" s="392" t="s">
        <v>5</v>
      </c>
      <c r="J3626" s="1207" t="s">
        <v>2874</v>
      </c>
      <c r="K3626" s="1207"/>
      <c r="L3626" s="1208"/>
      <c r="M3626" s="50"/>
      <c r="N3626" s="50"/>
      <c r="O3626" s="5"/>
      <c r="P3626" s="9"/>
      <c r="Q3626" s="34"/>
      <c r="R3626" s="5"/>
      <c r="S3626" s="35"/>
    </row>
    <row r="3627" spans="1:26" ht="30" customHeight="1" x14ac:dyDescent="0.35">
      <c r="A3627" s="494" t="s">
        <v>187</v>
      </c>
      <c r="B3627" s="1280" t="s">
        <v>211</v>
      </c>
      <c r="C3627" s="1281"/>
      <c r="D3627" s="1282"/>
      <c r="E3627" s="566" t="s">
        <v>52</v>
      </c>
      <c r="F3627" s="566" t="s">
        <v>53</v>
      </c>
      <c r="G3627" s="1219" t="s">
        <v>54</v>
      </c>
      <c r="H3627" s="1220"/>
      <c r="I3627" s="185" t="s">
        <v>188</v>
      </c>
      <c r="J3627" s="185"/>
      <c r="K3627" s="399" t="s">
        <v>180</v>
      </c>
      <c r="L3627" s="400"/>
      <c r="M3627" s="50"/>
      <c r="N3627" s="50"/>
    </row>
    <row r="3628" spans="1:26" ht="30" customHeight="1" x14ac:dyDescent="0.35">
      <c r="A3628" s="494"/>
      <c r="B3628" s="1212" t="s">
        <v>1519</v>
      </c>
      <c r="C3628" s="1213"/>
      <c r="D3628" s="1214"/>
      <c r="E3628" s="566"/>
      <c r="F3628" s="566"/>
      <c r="G3628" s="459"/>
      <c r="H3628" s="460"/>
      <c r="I3628" s="672"/>
      <c r="J3628" s="672"/>
      <c r="K3628" s="566"/>
      <c r="L3628" s="566"/>
      <c r="M3628" s="50"/>
      <c r="N3628" s="50"/>
      <c r="O3628" s="5"/>
      <c r="P3628" s="9"/>
      <c r="Q3628" s="34"/>
      <c r="R3628" s="5"/>
      <c r="S3628" s="35"/>
    </row>
    <row r="3629" spans="1:26" ht="30" customHeight="1" x14ac:dyDescent="0.35">
      <c r="A3629" s="790" t="s">
        <v>189</v>
      </c>
      <c r="B3629" s="1202" t="s">
        <v>1520</v>
      </c>
      <c r="C3629" s="1203"/>
      <c r="D3629" s="1204"/>
      <c r="E3629" s="194">
        <f>+(8300+15200)/2</f>
        <v>11750</v>
      </c>
      <c r="F3629" s="422" t="s">
        <v>108</v>
      </c>
      <c r="G3629" s="127">
        <v>90</v>
      </c>
      <c r="H3629" s="136" t="s">
        <v>1521</v>
      </c>
      <c r="I3629" s="204">
        <v>1.0900000000000001</v>
      </c>
      <c r="J3629" s="186"/>
      <c r="K3629" s="194">
        <f>+E3629*G3629*I3629</f>
        <v>1152675</v>
      </c>
      <c r="L3629" s="186" t="s">
        <v>40</v>
      </c>
      <c r="M3629" s="50"/>
      <c r="N3629" s="50"/>
      <c r="O3629" s="5"/>
      <c r="P3629" s="9"/>
      <c r="Q3629" s="34"/>
      <c r="R3629" s="5"/>
      <c r="S3629" s="35"/>
    </row>
    <row r="3630" spans="1:26" ht="30" customHeight="1" x14ac:dyDescent="0.35">
      <c r="A3630" s="186"/>
      <c r="B3630" s="567"/>
      <c r="C3630" s="567"/>
      <c r="D3630" s="567"/>
      <c r="E3630" s="194"/>
      <c r="F3630" s="1215" t="s">
        <v>195</v>
      </c>
      <c r="G3630" s="1273" t="s">
        <v>196</v>
      </c>
      <c r="H3630" s="1273"/>
      <c r="I3630" s="1273"/>
      <c r="J3630" s="1273"/>
      <c r="K3630" s="196">
        <v>1.05</v>
      </c>
      <c r="L3630" s="186"/>
      <c r="M3630" s="50"/>
      <c r="N3630" s="50"/>
      <c r="O3630" s="5"/>
      <c r="P3630" s="9"/>
      <c r="Q3630" s="34"/>
      <c r="R3630" s="5"/>
      <c r="S3630" s="35"/>
    </row>
    <row r="3631" spans="1:26" ht="30" customHeight="1" x14ac:dyDescent="0.35">
      <c r="A3631" s="186"/>
      <c r="B3631" s="567"/>
      <c r="C3631" s="567"/>
      <c r="D3631" s="567"/>
      <c r="E3631" s="194"/>
      <c r="F3631" s="1216"/>
      <c r="G3631" s="1268" t="s">
        <v>2875</v>
      </c>
      <c r="H3631" s="1268"/>
      <c r="I3631" s="1268"/>
      <c r="J3631" s="1268"/>
      <c r="K3631" s="196">
        <v>1.07</v>
      </c>
      <c r="L3631" s="186"/>
      <c r="M3631" s="50"/>
      <c r="N3631" s="50"/>
      <c r="O3631" s="5"/>
      <c r="P3631" s="9"/>
      <c r="Q3631" s="34"/>
      <c r="R3631" s="5"/>
      <c r="S3631" s="35"/>
    </row>
    <row r="3632" spans="1:26" ht="30" customHeight="1" x14ac:dyDescent="0.35">
      <c r="A3632" s="790"/>
      <c r="B3632" s="127"/>
      <c r="C3632" s="711"/>
      <c r="D3632" s="712"/>
      <c r="E3632" s="194"/>
      <c r="F3632" s="707"/>
      <c r="G3632" s="127"/>
      <c r="H3632" s="136"/>
      <c r="I3632" s="186"/>
      <c r="J3632" s="503" t="s">
        <v>37</v>
      </c>
      <c r="K3632" s="193">
        <f>+K3629*K3630/K3631</f>
        <v>1131129.6728971961</v>
      </c>
      <c r="L3632" s="186" t="s">
        <v>40</v>
      </c>
      <c r="M3632" s="50"/>
      <c r="O3632" s="5"/>
      <c r="P3632" s="9"/>
      <c r="Q3632" s="34"/>
      <c r="R3632" s="5"/>
      <c r="S3632" s="35"/>
    </row>
    <row r="3633" spans="1:21" ht="30" customHeight="1" thickBot="1" x14ac:dyDescent="0.4">
      <c r="A3633" s="186"/>
      <c r="B3633" s="186"/>
      <c r="C3633" s="503"/>
      <c r="D3633" s="503"/>
      <c r="E3633" s="503"/>
      <c r="F3633" s="503"/>
      <c r="G3633" s="1194" t="s">
        <v>257</v>
      </c>
      <c r="H3633" s="1195"/>
      <c r="I3633" s="1196"/>
      <c r="J3633" s="560">
        <f>VLOOKUP(B3626,'Mil Cost Premiums for PUCs'!$A$4:$R$285,18,FALSE)</f>
        <v>1.1199953840399997</v>
      </c>
      <c r="K3633" s="193">
        <f>+K3632*J3633</f>
        <v>1266860.0123955344</v>
      </c>
      <c r="L3633" s="186" t="s">
        <v>40</v>
      </c>
      <c r="M3633" s="50"/>
      <c r="N3633" s="50"/>
      <c r="O3633" s="5"/>
      <c r="P3633" s="9"/>
      <c r="Q3633" s="34"/>
      <c r="R3633" s="5"/>
      <c r="S3633" s="35"/>
    </row>
    <row r="3634" spans="1:21" ht="30" customHeight="1" thickBot="1" x14ac:dyDescent="0.4">
      <c r="A3634" s="1199"/>
      <c r="B3634" s="1200"/>
      <c r="C3634" s="1200"/>
      <c r="D3634" s="1200"/>
      <c r="E3634" s="1200"/>
      <c r="F3634" s="1200"/>
      <c r="G3634" s="1200"/>
      <c r="H3634" s="1200"/>
      <c r="I3634" s="1200"/>
      <c r="J3634" s="1200"/>
      <c r="K3634" s="1200"/>
      <c r="L3634" s="1201"/>
      <c r="N3634" s="50"/>
      <c r="O3634" s="5"/>
      <c r="P3634" s="9"/>
      <c r="Q3634" s="34"/>
      <c r="R3634" s="5"/>
      <c r="S3634" s="35"/>
    </row>
    <row r="3635" spans="1:21" ht="30" customHeight="1" x14ac:dyDescent="0.35">
      <c r="A3635" s="388" t="s">
        <v>1</v>
      </c>
      <c r="B3635" s="389">
        <v>7521</v>
      </c>
      <c r="C3635" s="1205" t="s">
        <v>1522</v>
      </c>
      <c r="D3635" s="1206"/>
      <c r="E3635" s="392" t="s">
        <v>3</v>
      </c>
      <c r="F3635" s="393" t="s">
        <v>40</v>
      </c>
      <c r="G3635" s="520" t="s">
        <v>2</v>
      </c>
      <c r="H3635" s="146">
        <v>1</v>
      </c>
      <c r="I3635" s="392" t="s">
        <v>5</v>
      </c>
      <c r="J3635" s="1207" t="s">
        <v>2481</v>
      </c>
      <c r="K3635" s="1207"/>
      <c r="L3635" s="1208"/>
      <c r="M3635" s="50"/>
      <c r="N3635" s="50"/>
      <c r="O3635" s="5"/>
      <c r="P3635" s="9"/>
      <c r="Q3635" s="34"/>
      <c r="R3635" s="5"/>
      <c r="S3635" s="35"/>
    </row>
    <row r="3636" spans="1:21" ht="30" customHeight="1" x14ac:dyDescent="0.35">
      <c r="A3636" s="185" t="s">
        <v>2802</v>
      </c>
      <c r="B3636" s="1280" t="s">
        <v>211</v>
      </c>
      <c r="C3636" s="1281"/>
      <c r="D3636" s="1282"/>
      <c r="E3636" s="566" t="s">
        <v>52</v>
      </c>
      <c r="F3636" s="566" t="s">
        <v>53</v>
      </c>
      <c r="G3636" s="1219" t="s">
        <v>54</v>
      </c>
      <c r="H3636" s="1220"/>
      <c r="I3636" s="185" t="s">
        <v>188</v>
      </c>
      <c r="J3636" s="185"/>
      <c r="K3636" s="399" t="s">
        <v>180</v>
      </c>
      <c r="L3636" s="400"/>
      <c r="M3636" s="50"/>
      <c r="N3636" s="50"/>
      <c r="O3636" s="5"/>
      <c r="P3636" s="9"/>
      <c r="Q3636" s="34"/>
      <c r="R3636" s="5"/>
      <c r="S3636" s="35"/>
    </row>
    <row r="3637" spans="1:21" ht="30" customHeight="1" x14ac:dyDescent="0.35">
      <c r="A3637" s="494"/>
      <c r="B3637" s="1202" t="s">
        <v>1523</v>
      </c>
      <c r="C3637" s="1203"/>
      <c r="D3637" s="1204"/>
      <c r="E3637" s="566"/>
      <c r="F3637" s="566"/>
      <c r="G3637" s="459"/>
      <c r="H3637" s="460"/>
      <c r="I3637" s="672"/>
      <c r="J3637" s="672"/>
      <c r="K3637" s="566"/>
      <c r="L3637" s="566"/>
      <c r="M3637" s="50"/>
      <c r="N3637" s="50"/>
      <c r="O3637" s="5"/>
      <c r="P3637" s="9"/>
      <c r="Q3637" s="34"/>
      <c r="R3637" s="5"/>
      <c r="S3637" s="35"/>
    </row>
    <row r="3638" spans="1:21" ht="30" customHeight="1" x14ac:dyDescent="0.35">
      <c r="A3638" s="186" t="s">
        <v>1524</v>
      </c>
      <c r="B3638" s="1202" t="s">
        <v>1525</v>
      </c>
      <c r="C3638" s="1203"/>
      <c r="D3638" s="1204"/>
      <c r="E3638" s="787">
        <f>+(44400+68500)/2</f>
        <v>56450</v>
      </c>
      <c r="F3638" s="422" t="s">
        <v>40</v>
      </c>
      <c r="G3638" s="127"/>
      <c r="H3638" s="136"/>
      <c r="I3638" s="204">
        <v>1.1100000000000001</v>
      </c>
      <c r="J3638" s="186"/>
      <c r="K3638" s="787">
        <f>+E3638*I3638</f>
        <v>62659.500000000007</v>
      </c>
      <c r="L3638" s="422" t="s">
        <v>40</v>
      </c>
      <c r="M3638" s="50"/>
      <c r="N3638" s="50"/>
      <c r="O3638" s="5"/>
      <c r="P3638" s="9"/>
      <c r="Q3638" s="34"/>
      <c r="R3638" s="5"/>
      <c r="S3638" s="35"/>
    </row>
    <row r="3639" spans="1:21" ht="30" customHeight="1" x14ac:dyDescent="0.35">
      <c r="A3639" s="186" t="s">
        <v>1524</v>
      </c>
      <c r="B3639" s="1202" t="s">
        <v>1526</v>
      </c>
      <c r="C3639" s="1203"/>
      <c r="D3639" s="1204"/>
      <c r="E3639" s="787">
        <f>+(14200+19500)/2</f>
        <v>16850</v>
      </c>
      <c r="F3639" s="422" t="s">
        <v>40</v>
      </c>
      <c r="G3639" s="265">
        <v>0.5</v>
      </c>
      <c r="H3639" s="136"/>
      <c r="I3639" s="204">
        <v>1.1100000000000001</v>
      </c>
      <c r="J3639" s="186"/>
      <c r="K3639" s="787">
        <f>+I3639*G3639*E3639</f>
        <v>9351.75</v>
      </c>
      <c r="L3639" s="422" t="s">
        <v>40</v>
      </c>
      <c r="M3639" s="50"/>
      <c r="N3639" s="50"/>
      <c r="O3639" s="5"/>
      <c r="Q3639" s="34"/>
      <c r="R3639" s="5"/>
      <c r="S3639" s="35"/>
      <c r="U3639" s="10"/>
    </row>
    <row r="3640" spans="1:21" ht="30" customHeight="1" x14ac:dyDescent="0.35">
      <c r="A3640" s="186" t="s">
        <v>1524</v>
      </c>
      <c r="B3640" s="1202" t="s">
        <v>1527</v>
      </c>
      <c r="C3640" s="1203"/>
      <c r="D3640" s="1204"/>
      <c r="E3640" s="787">
        <f>+(12100+18000)/2</f>
        <v>15050</v>
      </c>
      <c r="F3640" s="422" t="s">
        <v>40</v>
      </c>
      <c r="G3640" s="127"/>
      <c r="H3640" s="136"/>
      <c r="I3640" s="204">
        <v>1.1100000000000001</v>
      </c>
      <c r="J3640" s="186"/>
      <c r="K3640" s="787">
        <f>+E3640*I3640</f>
        <v>16705.5</v>
      </c>
      <c r="L3640" s="422" t="s">
        <v>40</v>
      </c>
      <c r="M3640" s="50"/>
      <c r="N3640" s="50"/>
      <c r="O3640" s="5"/>
      <c r="Q3640" s="34"/>
      <c r="R3640" s="5"/>
      <c r="S3640" s="35"/>
    </row>
    <row r="3641" spans="1:21" ht="30" customHeight="1" x14ac:dyDescent="0.35">
      <c r="A3641" s="1016"/>
      <c r="B3641" s="1202" t="s">
        <v>1528</v>
      </c>
      <c r="C3641" s="1203"/>
      <c r="D3641" s="1204"/>
      <c r="E3641" s="787"/>
      <c r="F3641" s="422"/>
      <c r="G3641" s="127"/>
      <c r="H3641" s="136"/>
      <c r="I3641" s="186"/>
      <c r="J3641" s="186" t="s">
        <v>223</v>
      </c>
      <c r="K3641" s="787">
        <f>SUM(K3638:K3640)</f>
        <v>88716.75</v>
      </c>
      <c r="L3641" s="422" t="s">
        <v>40</v>
      </c>
      <c r="M3641" s="50"/>
      <c r="N3641" s="50"/>
      <c r="O3641" s="5"/>
      <c r="P3641" s="9"/>
      <c r="Q3641" s="34"/>
      <c r="R3641" s="5"/>
      <c r="S3641" s="35"/>
      <c r="U3641" s="10"/>
    </row>
    <row r="3642" spans="1:21" ht="30" customHeight="1" x14ac:dyDescent="0.35">
      <c r="A3642" s="186" t="s">
        <v>1529</v>
      </c>
      <c r="B3642" s="1212" t="s">
        <v>1530</v>
      </c>
      <c r="C3642" s="1213"/>
      <c r="D3642" s="1214"/>
      <c r="E3642" s="787">
        <f>+((13+19.6)/2)</f>
        <v>16.3</v>
      </c>
      <c r="F3642" s="422" t="s">
        <v>108</v>
      </c>
      <c r="G3642" s="788">
        <f>(114*70)</f>
        <v>7980</v>
      </c>
      <c r="H3642" s="136" t="s">
        <v>371</v>
      </c>
      <c r="I3642" s="204">
        <v>1.1100000000000001</v>
      </c>
      <c r="J3642" s="186"/>
      <c r="K3642" s="787">
        <f>+I3642*G3642*E3642</f>
        <v>144382.14000000001</v>
      </c>
      <c r="L3642" s="422" t="s">
        <v>40</v>
      </c>
      <c r="M3642" s="50"/>
      <c r="N3642" s="50"/>
      <c r="O3642" s="5"/>
      <c r="Q3642" s="34"/>
      <c r="R3642" s="5"/>
      <c r="S3642" s="35"/>
    </row>
    <row r="3643" spans="1:21" ht="30" customHeight="1" x14ac:dyDescent="0.35">
      <c r="A3643" s="186" t="s">
        <v>2803</v>
      </c>
      <c r="B3643" s="1212" t="s">
        <v>2804</v>
      </c>
      <c r="C3643" s="1213"/>
      <c r="D3643" s="1214"/>
      <c r="E3643" s="787">
        <f>(1.84+4.13)/2</f>
        <v>2.9849999999999999</v>
      </c>
      <c r="F3643" s="422" t="s">
        <v>108</v>
      </c>
      <c r="G3643" s="788">
        <f>(114*70)</f>
        <v>7980</v>
      </c>
      <c r="H3643" s="136" t="s">
        <v>371</v>
      </c>
      <c r="I3643" s="204">
        <v>1.1100000000000001</v>
      </c>
      <c r="J3643" s="835"/>
      <c r="K3643" s="787">
        <f>+I3643*G3643*E3643</f>
        <v>26440.533000000003</v>
      </c>
      <c r="L3643" s="422" t="s">
        <v>40</v>
      </c>
      <c r="M3643" s="50"/>
      <c r="N3643" s="50"/>
      <c r="O3643" s="5"/>
      <c r="T3643" s="10"/>
    </row>
    <row r="3644" spans="1:21" ht="30" customHeight="1" x14ac:dyDescent="0.35">
      <c r="A3644" s="186" t="s">
        <v>308</v>
      </c>
      <c r="B3644" s="1202" t="s">
        <v>1531</v>
      </c>
      <c r="C3644" s="1203"/>
      <c r="D3644" s="1204"/>
      <c r="E3644" s="787">
        <f>+(1480+4400)/2</f>
        <v>2940</v>
      </c>
      <c r="F3644" s="422" t="s">
        <v>40</v>
      </c>
      <c r="G3644" s="127">
        <v>2</v>
      </c>
      <c r="H3644" s="136" t="s">
        <v>1532</v>
      </c>
      <c r="I3644" s="204">
        <v>1.1100000000000001</v>
      </c>
      <c r="J3644" s="186"/>
      <c r="K3644" s="787">
        <f>+I3644*G3644*E3644</f>
        <v>6526.8</v>
      </c>
      <c r="L3644" s="422" t="s">
        <v>40</v>
      </c>
      <c r="M3644" s="50"/>
      <c r="N3644" s="50"/>
      <c r="O3644" s="5"/>
      <c r="T3644" s="10"/>
    </row>
    <row r="3645" spans="1:21" ht="30" customHeight="1" x14ac:dyDescent="0.35">
      <c r="A3645" s="186"/>
      <c r="B3645" s="1212" t="s">
        <v>1533</v>
      </c>
      <c r="C3645" s="1213"/>
      <c r="D3645" s="1214"/>
      <c r="E3645" s="787"/>
      <c r="F3645" s="707"/>
      <c r="G3645" s="127"/>
      <c r="H3645" s="136"/>
      <c r="I3645" s="136"/>
      <c r="J3645" s="186" t="s">
        <v>223</v>
      </c>
      <c r="K3645" s="787">
        <f>(SUM(K3642:K3644)*2)*0.95</f>
        <v>336963.9987</v>
      </c>
      <c r="L3645" s="422" t="s">
        <v>40</v>
      </c>
      <c r="M3645" s="96"/>
      <c r="N3645" s="50"/>
      <c r="O3645" s="5"/>
      <c r="U3645" s="10"/>
    </row>
    <row r="3646" spans="1:21" ht="30" customHeight="1" x14ac:dyDescent="0.35">
      <c r="A3646" s="790"/>
      <c r="B3646" s="1211"/>
      <c r="C3646" s="1211"/>
      <c r="D3646" s="1211"/>
      <c r="E3646" s="194"/>
      <c r="F3646" s="186"/>
      <c r="G3646" s="186"/>
      <c r="H3646" s="186"/>
      <c r="I3646" s="186"/>
      <c r="J3646" s="186" t="s">
        <v>192</v>
      </c>
      <c r="K3646" s="205">
        <f>(+K3641+K3645)/2</f>
        <v>212840.37435</v>
      </c>
      <c r="L3646" s="186" t="s">
        <v>40</v>
      </c>
      <c r="M3646" s="50"/>
      <c r="N3646" s="50"/>
      <c r="O3646" s="5"/>
      <c r="U3646" s="10"/>
    </row>
    <row r="3647" spans="1:21" ht="30" customHeight="1" x14ac:dyDescent="0.35">
      <c r="A3647" s="186"/>
      <c r="B3647" s="567"/>
      <c r="C3647" s="567"/>
      <c r="D3647" s="567"/>
      <c r="E3647" s="194"/>
      <c r="F3647" s="1215" t="s">
        <v>195</v>
      </c>
      <c r="G3647" s="1273" t="s">
        <v>196</v>
      </c>
      <c r="H3647" s="1273"/>
      <c r="I3647" s="1273"/>
      <c r="J3647" s="1273"/>
      <c r="K3647" s="197">
        <v>1.06</v>
      </c>
      <c r="L3647" s="186"/>
      <c r="M3647" s="50"/>
      <c r="N3647" s="50"/>
      <c r="O3647" s="5"/>
      <c r="P3647" s="9"/>
    </row>
    <row r="3648" spans="1:21" ht="30" customHeight="1" x14ac:dyDescent="0.35">
      <c r="A3648" s="186"/>
      <c r="B3648" s="567"/>
      <c r="C3648" s="567"/>
      <c r="D3648" s="567"/>
      <c r="E3648" s="194"/>
      <c r="F3648" s="1216"/>
      <c r="G3648" s="1268" t="s">
        <v>2477</v>
      </c>
      <c r="H3648" s="1268"/>
      <c r="I3648" s="1268"/>
      <c r="J3648" s="1268"/>
      <c r="K3648" s="197">
        <v>1.05</v>
      </c>
      <c r="L3648" s="186"/>
      <c r="M3648" s="50"/>
      <c r="N3648" s="50"/>
      <c r="O3648" s="5"/>
      <c r="P3648" s="9"/>
      <c r="T3648" s="10"/>
    </row>
    <row r="3649" spans="1:21" ht="30" customHeight="1" x14ac:dyDescent="0.35">
      <c r="A3649" s="186"/>
      <c r="B3649" s="186"/>
      <c r="C3649" s="503"/>
      <c r="D3649" s="503"/>
      <c r="E3649" s="503"/>
      <c r="F3649" s="503"/>
      <c r="G3649" s="503"/>
      <c r="H3649" s="503"/>
      <c r="I3649" s="503"/>
      <c r="J3649" s="186" t="s">
        <v>37</v>
      </c>
      <c r="K3649" s="202">
        <f>+K3646*K3647/K3648</f>
        <v>214867.42553428572</v>
      </c>
      <c r="L3649" s="186" t="s">
        <v>40</v>
      </c>
      <c r="M3649" s="50"/>
      <c r="N3649" s="50"/>
      <c r="O3649" s="5"/>
      <c r="P3649" s="9"/>
      <c r="T3649" s="10"/>
    </row>
    <row r="3650" spans="1:21" ht="30" customHeight="1" x14ac:dyDescent="0.35">
      <c r="A3650" s="186"/>
      <c r="B3650" s="186"/>
      <c r="C3650" s="503"/>
      <c r="D3650" s="503"/>
      <c r="E3650" s="503"/>
      <c r="F3650" s="503"/>
      <c r="G3650" s="1198" t="s">
        <v>257</v>
      </c>
      <c r="H3650" s="1198"/>
      <c r="I3650" s="1198"/>
      <c r="J3650" s="560">
        <f>VLOOKUP(B3635,'Mil Cost Premiums for PUCs'!$A$4:$R$285,18,FALSE)</f>
        <v>1.0209999999999999</v>
      </c>
      <c r="K3650" s="193">
        <f>+K3649*J3650</f>
        <v>219379.64147050571</v>
      </c>
      <c r="L3650" s="186" t="s">
        <v>40</v>
      </c>
      <c r="M3650" s="50"/>
      <c r="O3650" s="5"/>
      <c r="P3650" s="9"/>
      <c r="Q3650" s="34"/>
      <c r="R3650" s="5"/>
      <c r="S3650" s="35"/>
    </row>
    <row r="3651" spans="1:21" ht="30" customHeight="1" thickBot="1" x14ac:dyDescent="0.4">
      <c r="A3651" s="186"/>
      <c r="B3651" s="186"/>
      <c r="C3651" s="503"/>
      <c r="D3651" s="503"/>
      <c r="E3651" s="503"/>
      <c r="F3651" s="503"/>
      <c r="G3651" s="1309" t="s">
        <v>3000</v>
      </c>
      <c r="H3651" s="1310"/>
      <c r="I3651" s="1311"/>
      <c r="J3651" s="560">
        <v>1.0438745311870361</v>
      </c>
      <c r="K3651" s="193">
        <f>+K3650*J3651</f>
        <v>229004.82039200421</v>
      </c>
      <c r="L3651" s="186" t="s">
        <v>40</v>
      </c>
      <c r="M3651" s="50"/>
      <c r="N3651" s="50"/>
      <c r="P3651" s="9"/>
      <c r="Q3651" s="34"/>
      <c r="R3651" s="5"/>
      <c r="S3651" s="35"/>
    </row>
    <row r="3652" spans="1:21" ht="30" customHeight="1" thickBot="1" x14ac:dyDescent="0.4">
      <c r="A3652" s="1199"/>
      <c r="B3652" s="1200"/>
      <c r="C3652" s="1200"/>
      <c r="D3652" s="1200"/>
      <c r="E3652" s="1200"/>
      <c r="F3652" s="1200"/>
      <c r="G3652" s="1200"/>
      <c r="H3652" s="1200"/>
      <c r="I3652" s="1200"/>
      <c r="J3652" s="1200"/>
      <c r="K3652" s="1200"/>
      <c r="L3652" s="1201"/>
      <c r="M3652" s="50"/>
      <c r="N3652" s="50"/>
      <c r="P3652" s="9"/>
      <c r="Q3652" s="34"/>
      <c r="R3652" s="5"/>
      <c r="S3652" s="35"/>
    </row>
    <row r="3653" spans="1:21" ht="30" customHeight="1" x14ac:dyDescent="0.35">
      <c r="A3653" s="388" t="s">
        <v>1</v>
      </c>
      <c r="B3653" s="389">
        <v>7522</v>
      </c>
      <c r="C3653" s="1290" t="s">
        <v>1534</v>
      </c>
      <c r="D3653" s="1291"/>
      <c r="E3653" s="392" t="s">
        <v>3</v>
      </c>
      <c r="F3653" s="393" t="s">
        <v>40</v>
      </c>
      <c r="G3653" s="529" t="s">
        <v>1535</v>
      </c>
      <c r="H3653" s="135">
        <v>1</v>
      </c>
      <c r="I3653" s="392" t="s">
        <v>5</v>
      </c>
      <c r="J3653" s="1207" t="s">
        <v>281</v>
      </c>
      <c r="K3653" s="1207"/>
      <c r="L3653" s="1208"/>
      <c r="M3653" s="96"/>
      <c r="N3653" s="50"/>
      <c r="O3653" s="5"/>
      <c r="U3653" s="10"/>
    </row>
    <row r="3654" spans="1:21" ht="30" customHeight="1" x14ac:dyDescent="0.35">
      <c r="A3654" s="185" t="s">
        <v>177</v>
      </c>
      <c r="B3654" s="1272" t="s">
        <v>7</v>
      </c>
      <c r="C3654" s="1272"/>
      <c r="D3654" s="1272"/>
      <c r="E3654" s="397" t="s">
        <v>52</v>
      </c>
      <c r="F3654" s="185" t="s">
        <v>178</v>
      </c>
      <c r="G3654" s="1292" t="s">
        <v>54</v>
      </c>
      <c r="H3654" s="1293"/>
      <c r="I3654" s="1221" t="s">
        <v>179</v>
      </c>
      <c r="J3654" s="1222"/>
      <c r="K3654" s="399" t="s">
        <v>180</v>
      </c>
      <c r="L3654" s="400"/>
      <c r="M3654" s="96"/>
      <c r="N3654" s="50"/>
      <c r="U3654" s="10"/>
    </row>
    <row r="3655" spans="1:21" ht="30" customHeight="1" x14ac:dyDescent="0.35">
      <c r="A3655" s="186">
        <v>75022</v>
      </c>
      <c r="B3655" s="1202" t="s">
        <v>1536</v>
      </c>
      <c r="C3655" s="1203"/>
      <c r="D3655" s="1204"/>
      <c r="E3655" s="194">
        <v>1200934</v>
      </c>
      <c r="F3655" s="203">
        <v>1</v>
      </c>
      <c r="G3655" s="525"/>
      <c r="H3655" s="401"/>
      <c r="I3655" s="1492">
        <f>+'FY2024 MILCON Inflation Table'!F18</f>
        <v>1.1706170972389343</v>
      </c>
      <c r="J3655" s="1493"/>
      <c r="K3655" s="189">
        <f>+E3655*I3655</f>
        <v>1405833.8730555424</v>
      </c>
      <c r="L3655" s="401" t="s">
        <v>40</v>
      </c>
      <c r="M3655" s="50"/>
      <c r="N3655" s="50"/>
      <c r="T3655" s="10"/>
      <c r="U3655" s="10"/>
    </row>
    <row r="3656" spans="1:21" ht="30" customHeight="1" thickBot="1" x14ac:dyDescent="0.4">
      <c r="A3656" s="186"/>
      <c r="B3656" s="1202"/>
      <c r="C3656" s="1203"/>
      <c r="D3656" s="1204"/>
      <c r="E3656" s="520"/>
      <c r="F3656" s="784"/>
      <c r="G3656" s="520"/>
      <c r="H3656" s="750"/>
      <c r="I3656" s="503"/>
      <c r="J3656" s="494" t="s">
        <v>37</v>
      </c>
      <c r="K3656" s="190">
        <f>SUM(K3655:K3655)</f>
        <v>1405833.8730555424</v>
      </c>
      <c r="L3656" s="401" t="s">
        <v>40</v>
      </c>
      <c r="M3656" s="50"/>
      <c r="N3656" s="50"/>
      <c r="T3656" s="10"/>
    </row>
    <row r="3657" spans="1:21" ht="30" customHeight="1" thickBot="1" x14ac:dyDescent="0.4">
      <c r="A3657" s="1199"/>
      <c r="B3657" s="1200"/>
      <c r="C3657" s="1200"/>
      <c r="D3657" s="1200"/>
      <c r="E3657" s="1200"/>
      <c r="F3657" s="1200"/>
      <c r="G3657" s="1200"/>
      <c r="H3657" s="1200"/>
      <c r="I3657" s="1200"/>
      <c r="J3657" s="1200"/>
      <c r="K3657" s="1200"/>
      <c r="L3657" s="1201"/>
      <c r="M3657" s="50"/>
      <c r="N3657" s="50"/>
      <c r="O3657" s="572"/>
      <c r="T3657" s="10"/>
    </row>
    <row r="3658" spans="1:21" ht="30" customHeight="1" x14ac:dyDescent="0.35">
      <c r="A3658" s="388" t="s">
        <v>1</v>
      </c>
      <c r="B3658" s="389">
        <v>7523</v>
      </c>
      <c r="C3658" s="1345" t="s">
        <v>1537</v>
      </c>
      <c r="D3658" s="1346"/>
      <c r="E3658" s="392" t="s">
        <v>3</v>
      </c>
      <c r="F3658" s="393" t="s">
        <v>40</v>
      </c>
      <c r="G3658" s="529" t="s">
        <v>1535</v>
      </c>
      <c r="H3658" s="135">
        <v>1</v>
      </c>
      <c r="I3658" s="392" t="s">
        <v>5</v>
      </c>
      <c r="J3658" s="1207" t="s">
        <v>2873</v>
      </c>
      <c r="K3658" s="1207"/>
      <c r="L3658" s="1208"/>
      <c r="M3658" s="96"/>
      <c r="N3658" s="50"/>
      <c r="O3658" s="572"/>
      <c r="T3658" s="10"/>
    </row>
    <row r="3659" spans="1:21" ht="30" customHeight="1" x14ac:dyDescent="0.35">
      <c r="A3659" s="185" t="s">
        <v>177</v>
      </c>
      <c r="B3659" s="1272" t="s">
        <v>7</v>
      </c>
      <c r="C3659" s="1272"/>
      <c r="D3659" s="1272"/>
      <c r="E3659" s="397" t="s">
        <v>52</v>
      </c>
      <c r="F3659" s="185" t="s">
        <v>178</v>
      </c>
      <c r="G3659" s="1292" t="s">
        <v>54</v>
      </c>
      <c r="H3659" s="1293"/>
      <c r="I3659" s="1221" t="s">
        <v>179</v>
      </c>
      <c r="J3659" s="1222"/>
      <c r="K3659" s="399" t="s">
        <v>180</v>
      </c>
      <c r="L3659" s="400"/>
      <c r="M3659" s="96"/>
      <c r="N3659" s="96"/>
      <c r="O3659" s="572"/>
      <c r="S3659" s="10"/>
      <c r="T3659" s="10"/>
    </row>
    <row r="3660" spans="1:21" ht="30" customHeight="1" x14ac:dyDescent="0.35">
      <c r="A3660" s="186">
        <v>75027</v>
      </c>
      <c r="B3660" s="1202" t="s">
        <v>1537</v>
      </c>
      <c r="C3660" s="1203"/>
      <c r="D3660" s="1204"/>
      <c r="E3660" s="194">
        <v>663123</v>
      </c>
      <c r="F3660" s="203">
        <v>1</v>
      </c>
      <c r="G3660" s="525"/>
      <c r="H3660" s="401"/>
      <c r="I3660" s="1492">
        <f>+'FY2024 MILCON Inflation Table'!F23</f>
        <v>0.93863689284411045</v>
      </c>
      <c r="J3660" s="1493"/>
      <c r="K3660" s="189">
        <f>+E3660*I3660</f>
        <v>622431.71229346504</v>
      </c>
      <c r="L3660" s="401" t="s">
        <v>40</v>
      </c>
      <c r="M3660" s="50"/>
      <c r="N3660" s="50"/>
      <c r="S3660" s="53"/>
      <c r="T3660" s="53"/>
    </row>
    <row r="3661" spans="1:21" ht="30" customHeight="1" thickBot="1" x14ac:dyDescent="0.4">
      <c r="A3661" s="186"/>
      <c r="B3661" s="1202"/>
      <c r="C3661" s="1203"/>
      <c r="D3661" s="1204"/>
      <c r="E3661" s="520"/>
      <c r="F3661" s="784"/>
      <c r="G3661" s="520"/>
      <c r="H3661" s="750"/>
      <c r="I3661" s="503"/>
      <c r="J3661" s="494" t="s">
        <v>37</v>
      </c>
      <c r="K3661" s="190">
        <f>SUM(K3660:K3660)</f>
        <v>622431.71229346504</v>
      </c>
      <c r="L3661" s="401" t="s">
        <v>40</v>
      </c>
      <c r="M3661" s="50"/>
      <c r="N3661" s="50"/>
      <c r="S3661" s="10"/>
      <c r="T3661" s="10"/>
    </row>
    <row r="3662" spans="1:21" ht="30" customHeight="1" thickBot="1" x14ac:dyDescent="0.4">
      <c r="A3662" s="1199"/>
      <c r="B3662" s="1200"/>
      <c r="C3662" s="1200"/>
      <c r="D3662" s="1200"/>
      <c r="E3662" s="1200"/>
      <c r="F3662" s="1200"/>
      <c r="G3662" s="1200"/>
      <c r="H3662" s="1200"/>
      <c r="I3662" s="1200"/>
      <c r="J3662" s="1200"/>
      <c r="K3662" s="1200"/>
      <c r="L3662" s="1201"/>
      <c r="M3662" s="50"/>
      <c r="N3662" s="50"/>
      <c r="S3662" s="10"/>
      <c r="T3662" s="10"/>
    </row>
    <row r="3663" spans="1:21" ht="30" customHeight="1" x14ac:dyDescent="0.35">
      <c r="A3663" s="388" t="s">
        <v>1</v>
      </c>
      <c r="B3663" s="389">
        <v>7524</v>
      </c>
      <c r="C3663" s="1205" t="s">
        <v>1538</v>
      </c>
      <c r="D3663" s="1206"/>
      <c r="E3663" s="392" t="s">
        <v>3</v>
      </c>
      <c r="F3663" s="393" t="s">
        <v>40</v>
      </c>
      <c r="G3663" s="520" t="s">
        <v>2</v>
      </c>
      <c r="H3663" s="132">
        <v>1</v>
      </c>
      <c r="I3663" s="392" t="s">
        <v>5</v>
      </c>
      <c r="J3663" s="1207" t="s">
        <v>2874</v>
      </c>
      <c r="K3663" s="1207"/>
      <c r="L3663" s="1208"/>
      <c r="M3663" s="50"/>
      <c r="N3663" s="50"/>
      <c r="O3663" s="5"/>
      <c r="P3663" s="9"/>
      <c r="Q3663" s="34"/>
      <c r="R3663" s="5"/>
      <c r="S3663" s="35"/>
    </row>
    <row r="3664" spans="1:21" ht="30" customHeight="1" x14ac:dyDescent="0.35">
      <c r="A3664" s="494" t="s">
        <v>187</v>
      </c>
      <c r="B3664" s="1280" t="s">
        <v>211</v>
      </c>
      <c r="C3664" s="1281"/>
      <c r="D3664" s="1282"/>
      <c r="E3664" s="566" t="s">
        <v>52</v>
      </c>
      <c r="F3664" s="566" t="s">
        <v>53</v>
      </c>
      <c r="G3664" s="1219" t="s">
        <v>54</v>
      </c>
      <c r="H3664" s="1220"/>
      <c r="I3664" s="185" t="s">
        <v>188</v>
      </c>
      <c r="J3664" s="185"/>
      <c r="K3664" s="399" t="s">
        <v>180</v>
      </c>
      <c r="L3664" s="400"/>
      <c r="M3664" s="50"/>
      <c r="N3664" s="50"/>
      <c r="O3664" s="5"/>
      <c r="P3664" s="9"/>
      <c r="Q3664" s="34"/>
      <c r="R3664" s="5"/>
      <c r="S3664" s="35"/>
    </row>
    <row r="3665" spans="1:21" ht="30" customHeight="1" x14ac:dyDescent="0.35">
      <c r="A3665" s="494"/>
      <c r="B3665" s="1202" t="s">
        <v>1539</v>
      </c>
      <c r="C3665" s="1203"/>
      <c r="D3665" s="1204"/>
      <c r="E3665" s="566"/>
      <c r="F3665" s="566"/>
      <c r="G3665" s="459"/>
      <c r="H3665" s="460"/>
      <c r="I3665" s="672"/>
      <c r="J3665" s="672"/>
      <c r="K3665" s="566"/>
      <c r="L3665" s="566"/>
      <c r="M3665" s="50"/>
      <c r="N3665" s="50"/>
      <c r="S3665" s="10"/>
      <c r="T3665" s="10"/>
    </row>
    <row r="3666" spans="1:21" ht="30" customHeight="1" x14ac:dyDescent="0.35">
      <c r="A3666" s="790" t="s">
        <v>1540</v>
      </c>
      <c r="B3666" s="1212" t="s">
        <v>1541</v>
      </c>
      <c r="C3666" s="1213"/>
      <c r="D3666" s="1214"/>
      <c r="E3666" s="194">
        <f>(118+265)/2</f>
        <v>191.5</v>
      </c>
      <c r="F3666" s="422" t="s">
        <v>1542</v>
      </c>
      <c r="G3666" s="149">
        <v>10000</v>
      </c>
      <c r="H3666" s="136" t="s">
        <v>1543</v>
      </c>
      <c r="I3666" s="204">
        <v>1.0900000000000001</v>
      </c>
      <c r="J3666" s="186"/>
      <c r="K3666" s="194">
        <f>+E3666*G3666*I3666</f>
        <v>2087350.0000000002</v>
      </c>
      <c r="L3666" s="186" t="s">
        <v>40</v>
      </c>
      <c r="M3666" s="50"/>
      <c r="S3666" s="10"/>
      <c r="T3666" s="10"/>
    </row>
    <row r="3667" spans="1:21" ht="30" customHeight="1" x14ac:dyDescent="0.35">
      <c r="A3667" s="790" t="s">
        <v>1540</v>
      </c>
      <c r="B3667" s="1212" t="s">
        <v>1544</v>
      </c>
      <c r="C3667" s="1213"/>
      <c r="D3667" s="1214"/>
      <c r="E3667" s="194">
        <f>+(306+434)/2</f>
        <v>370</v>
      </c>
      <c r="F3667" s="422" t="s">
        <v>1542</v>
      </c>
      <c r="G3667" s="149">
        <v>10000</v>
      </c>
      <c r="H3667" s="136" t="s">
        <v>1543</v>
      </c>
      <c r="I3667" s="204">
        <v>1.0900000000000001</v>
      </c>
      <c r="J3667" s="186"/>
      <c r="K3667" s="194">
        <f>+E3667*G3667*I3667</f>
        <v>4033000.0000000005</v>
      </c>
      <c r="L3667" s="186" t="s">
        <v>40</v>
      </c>
      <c r="M3667" s="50"/>
      <c r="N3667" s="50"/>
      <c r="S3667" s="10"/>
      <c r="T3667" s="10"/>
    </row>
    <row r="3668" spans="1:21" ht="30" customHeight="1" x14ac:dyDescent="0.35">
      <c r="A3668" s="790" t="s">
        <v>1540</v>
      </c>
      <c r="B3668" s="1212" t="s">
        <v>1545</v>
      </c>
      <c r="C3668" s="1203"/>
      <c r="D3668" s="1204"/>
      <c r="E3668" s="194">
        <f>+(434+590)/2</f>
        <v>512</v>
      </c>
      <c r="F3668" s="422" t="s">
        <v>1542</v>
      </c>
      <c r="G3668" s="149">
        <v>10000</v>
      </c>
      <c r="H3668" s="136" t="s">
        <v>1543</v>
      </c>
      <c r="I3668" s="204">
        <v>1.0900000000000001</v>
      </c>
      <c r="J3668" s="186"/>
      <c r="K3668" s="194">
        <f>+E3668*G3668*I3668</f>
        <v>5580800</v>
      </c>
      <c r="L3668" s="186" t="s">
        <v>40</v>
      </c>
      <c r="M3668" s="50"/>
      <c r="N3668" s="50"/>
      <c r="S3668" s="10"/>
      <c r="T3668" s="10"/>
    </row>
    <row r="3669" spans="1:21" ht="30" customHeight="1" x14ac:dyDescent="0.35">
      <c r="A3669" s="790"/>
      <c r="B3669" s="1211"/>
      <c r="C3669" s="1211"/>
      <c r="D3669" s="1211"/>
      <c r="E3669" s="194"/>
      <c r="F3669" s="186"/>
      <c r="G3669" s="186"/>
      <c r="H3669" s="186"/>
      <c r="I3669" s="186"/>
      <c r="J3669" s="186" t="s">
        <v>192</v>
      </c>
      <c r="K3669" s="194">
        <f>AVERAGE(K3666:K3668)</f>
        <v>3900383.3333333335</v>
      </c>
      <c r="L3669" s="186" t="s">
        <v>40</v>
      </c>
      <c r="M3669" s="50"/>
      <c r="N3669" s="96"/>
      <c r="S3669" s="10"/>
      <c r="T3669" s="10"/>
    </row>
    <row r="3670" spans="1:21" ht="30" customHeight="1" x14ac:dyDescent="0.35">
      <c r="A3670" s="186"/>
      <c r="B3670" s="567"/>
      <c r="C3670" s="567"/>
      <c r="D3670" s="567"/>
      <c r="E3670" s="194"/>
      <c r="F3670" s="1215" t="s">
        <v>195</v>
      </c>
      <c r="G3670" s="1273" t="s">
        <v>196</v>
      </c>
      <c r="H3670" s="1273"/>
      <c r="I3670" s="1273"/>
      <c r="J3670" s="1273"/>
      <c r="K3670" s="196">
        <v>1.05</v>
      </c>
      <c r="L3670" s="186"/>
      <c r="M3670" s="50"/>
      <c r="N3670" s="50"/>
      <c r="S3670" s="10"/>
      <c r="T3670" s="10"/>
    </row>
    <row r="3671" spans="1:21" ht="30" customHeight="1" x14ac:dyDescent="0.35">
      <c r="A3671" s="186"/>
      <c r="B3671" s="567"/>
      <c r="C3671" s="567"/>
      <c r="D3671" s="567"/>
      <c r="E3671" s="194"/>
      <c r="F3671" s="1216"/>
      <c r="G3671" s="1268" t="s">
        <v>2875</v>
      </c>
      <c r="H3671" s="1268"/>
      <c r="I3671" s="1268"/>
      <c r="J3671" s="1268"/>
      <c r="K3671" s="196">
        <v>1.07</v>
      </c>
      <c r="L3671" s="186"/>
      <c r="M3671" s="50"/>
      <c r="N3671" s="50"/>
      <c r="S3671" s="10"/>
      <c r="T3671" s="10"/>
    </row>
    <row r="3672" spans="1:21" ht="30" customHeight="1" x14ac:dyDescent="0.35">
      <c r="A3672" s="790"/>
      <c r="B3672" s="1211"/>
      <c r="C3672" s="1211"/>
      <c r="D3672" s="1211"/>
      <c r="E3672" s="194"/>
      <c r="F3672" s="186"/>
      <c r="G3672" s="186"/>
      <c r="H3672" s="186"/>
      <c r="I3672" s="186"/>
      <c r="J3672" s="186" t="s">
        <v>37</v>
      </c>
      <c r="K3672" s="194">
        <f>+K3669*K3670/K3671</f>
        <v>3827478.9719626172</v>
      </c>
      <c r="L3672" s="186" t="s">
        <v>40</v>
      </c>
      <c r="M3672" s="50"/>
      <c r="N3672" s="50"/>
      <c r="S3672" s="10"/>
      <c r="T3672" s="10"/>
      <c r="U3672" s="10"/>
    </row>
    <row r="3673" spans="1:21" ht="30" customHeight="1" thickBot="1" x14ac:dyDescent="0.4">
      <c r="A3673" s="186"/>
      <c r="B3673" s="186"/>
      <c r="C3673" s="503"/>
      <c r="D3673" s="503"/>
      <c r="E3673" s="503"/>
      <c r="F3673" s="503"/>
      <c r="G3673" s="1194" t="s">
        <v>257</v>
      </c>
      <c r="H3673" s="1195"/>
      <c r="I3673" s="1196"/>
      <c r="J3673" s="560">
        <f>VLOOKUP(B3663,'Mil Cost Premiums for PUCs'!$A$4:$R$285,18,FALSE)</f>
        <v>1.1199953840399997</v>
      </c>
      <c r="K3673" s="193">
        <f>+K3669*J3673</f>
        <v>4368411.3293198813</v>
      </c>
      <c r="L3673" s="186" t="s">
        <v>40</v>
      </c>
      <c r="M3673" s="96"/>
      <c r="N3673" s="50"/>
      <c r="S3673" s="10"/>
      <c r="T3673" s="10"/>
      <c r="U3673" s="10"/>
    </row>
    <row r="3674" spans="1:21" ht="30" customHeight="1" thickBot="1" x14ac:dyDescent="0.4">
      <c r="A3674" s="1199"/>
      <c r="B3674" s="1200"/>
      <c r="C3674" s="1200"/>
      <c r="D3674" s="1200"/>
      <c r="E3674" s="1200"/>
      <c r="F3674" s="1200"/>
      <c r="G3674" s="1200"/>
      <c r="H3674" s="1200"/>
      <c r="I3674" s="1200"/>
      <c r="J3674" s="1200"/>
      <c r="K3674" s="1200"/>
      <c r="L3674" s="1201"/>
      <c r="N3674" s="50"/>
      <c r="S3674" s="10"/>
      <c r="T3674" s="10"/>
      <c r="U3674" s="10"/>
    </row>
    <row r="3675" spans="1:21" ht="30" customHeight="1" x14ac:dyDescent="0.35">
      <c r="A3675" s="388" t="s">
        <v>1</v>
      </c>
      <c r="B3675" s="389">
        <v>7531</v>
      </c>
      <c r="C3675" s="1205" t="s">
        <v>1546</v>
      </c>
      <c r="D3675" s="1206"/>
      <c r="E3675" s="392" t="s">
        <v>3</v>
      </c>
      <c r="F3675" s="393" t="s">
        <v>108</v>
      </c>
      <c r="G3675" s="390" t="s">
        <v>38</v>
      </c>
      <c r="H3675" s="132">
        <v>723.41563333726799</v>
      </c>
      <c r="I3675" s="392" t="s">
        <v>5</v>
      </c>
      <c r="J3675" s="1207" t="s">
        <v>2481</v>
      </c>
      <c r="K3675" s="1207"/>
      <c r="L3675" s="1208"/>
      <c r="M3675" s="50"/>
      <c r="N3675" s="50"/>
      <c r="T3675" s="10"/>
      <c r="U3675" s="10"/>
    </row>
    <row r="3676" spans="1:21" ht="30" customHeight="1" x14ac:dyDescent="0.35">
      <c r="A3676" s="494" t="s">
        <v>187</v>
      </c>
      <c r="B3676" s="1280" t="s">
        <v>211</v>
      </c>
      <c r="C3676" s="1281"/>
      <c r="D3676" s="1282"/>
      <c r="E3676" s="566" t="s">
        <v>52</v>
      </c>
      <c r="F3676" s="566" t="s">
        <v>53</v>
      </c>
      <c r="G3676" s="1286" t="s">
        <v>54</v>
      </c>
      <c r="H3676" s="1287"/>
      <c r="I3676" s="185" t="s">
        <v>1051</v>
      </c>
      <c r="J3676" s="185" t="s">
        <v>188</v>
      </c>
      <c r="K3676" s="399" t="s">
        <v>180</v>
      </c>
      <c r="L3676" s="400"/>
      <c r="M3676" s="50"/>
      <c r="N3676" s="50"/>
      <c r="O3676" s="665"/>
      <c r="T3676" s="10"/>
      <c r="U3676" s="10"/>
    </row>
    <row r="3677" spans="1:21" ht="30" customHeight="1" x14ac:dyDescent="0.35">
      <c r="A3677" s="186" t="s">
        <v>1547</v>
      </c>
      <c r="B3677" s="1202" t="s">
        <v>1548</v>
      </c>
      <c r="C3677" s="1203"/>
      <c r="D3677" s="1204"/>
      <c r="E3677" s="7">
        <v>113</v>
      </c>
      <c r="F3677" s="422" t="s">
        <v>108</v>
      </c>
      <c r="G3677" s="707"/>
      <c r="H3677" s="708"/>
      <c r="J3677" s="186">
        <v>1.21</v>
      </c>
      <c r="K3677" s="733">
        <f>+J3677*E3677</f>
        <v>136.72999999999999</v>
      </c>
      <c r="L3677" s="422" t="s">
        <v>108</v>
      </c>
      <c r="M3677" s="50"/>
      <c r="N3677" s="50"/>
      <c r="T3677" s="10"/>
      <c r="U3677" s="10"/>
    </row>
    <row r="3678" spans="1:21" ht="30" customHeight="1" x14ac:dyDescent="0.35">
      <c r="A3678" s="186"/>
      <c r="B3678" s="567"/>
      <c r="C3678" s="567"/>
      <c r="D3678" s="567"/>
      <c r="E3678" s="194"/>
      <c r="F3678" s="1215" t="s">
        <v>195</v>
      </c>
      <c r="G3678" s="1273" t="s">
        <v>196</v>
      </c>
      <c r="H3678" s="1273"/>
      <c r="I3678" s="1273"/>
      <c r="J3678" s="1273"/>
      <c r="K3678" s="196">
        <v>1.06</v>
      </c>
      <c r="L3678" s="186"/>
      <c r="M3678" s="50"/>
      <c r="N3678" s="50"/>
    </row>
    <row r="3679" spans="1:21" ht="30" customHeight="1" x14ac:dyDescent="0.35">
      <c r="A3679" s="186"/>
      <c r="B3679" s="567"/>
      <c r="C3679" s="567"/>
      <c r="D3679" s="567"/>
      <c r="E3679" s="194"/>
      <c r="F3679" s="1216"/>
      <c r="G3679" s="1268" t="s">
        <v>2477</v>
      </c>
      <c r="H3679" s="1268"/>
      <c r="I3679" s="1268"/>
      <c r="J3679" s="1268"/>
      <c r="K3679" s="196">
        <v>1.05</v>
      </c>
      <c r="L3679" s="186"/>
      <c r="M3679" s="50"/>
      <c r="N3679" s="50"/>
      <c r="T3679" s="10"/>
      <c r="U3679" s="10"/>
    </row>
    <row r="3680" spans="1:21" ht="30" customHeight="1" x14ac:dyDescent="0.35">
      <c r="A3680" s="790"/>
      <c r="B3680" s="1202"/>
      <c r="C3680" s="1203"/>
      <c r="D3680" s="1204"/>
      <c r="E3680" s="194"/>
      <c r="F3680" s="422"/>
      <c r="G3680" s="127"/>
      <c r="H3680" s="136"/>
      <c r="I3680" s="186"/>
      <c r="J3680" s="186" t="s">
        <v>37</v>
      </c>
      <c r="K3680" s="193">
        <f>+K3677*K3678/K3679</f>
        <v>138.03219047619046</v>
      </c>
      <c r="L3680" s="186" t="s">
        <v>108</v>
      </c>
      <c r="M3680" s="50"/>
      <c r="N3680" s="50"/>
      <c r="T3680" s="10"/>
    </row>
    <row r="3681" spans="1:25" ht="30" customHeight="1" x14ac:dyDescent="0.35">
      <c r="A3681" s="186"/>
      <c r="B3681" s="186"/>
      <c r="C3681" s="503"/>
      <c r="D3681" s="503"/>
      <c r="E3681" s="503"/>
      <c r="F3681" s="503"/>
      <c r="G3681" s="1194" t="s">
        <v>257</v>
      </c>
      <c r="H3681" s="1195"/>
      <c r="I3681" s="1196"/>
      <c r="J3681" s="560">
        <f>VLOOKUP(B3675,'Mil Cost Premiums for PUCs'!$A$4:$R$285,18,FALSE)</f>
        <v>1.0209999999999999</v>
      </c>
      <c r="K3681" s="193">
        <f>+K3680*J3681</f>
        <v>140.93086647619046</v>
      </c>
      <c r="L3681" s="186" t="s">
        <v>108</v>
      </c>
      <c r="M3681" s="50"/>
      <c r="N3681" s="50"/>
      <c r="O3681" s="5"/>
      <c r="P3681" s="9"/>
      <c r="Q3681" s="34"/>
      <c r="R3681" s="5"/>
      <c r="S3681" s="35"/>
    </row>
    <row r="3682" spans="1:25" ht="30" customHeight="1" thickBot="1" x14ac:dyDescent="0.4">
      <c r="A3682" s="186"/>
      <c r="B3682" s="186"/>
      <c r="C3682" s="503"/>
      <c r="D3682" s="503"/>
      <c r="E3682" s="503"/>
      <c r="F3682" s="503"/>
      <c r="G3682" s="1309" t="s">
        <v>3000</v>
      </c>
      <c r="H3682" s="1310"/>
      <c r="I3682" s="1311"/>
      <c r="J3682" s="560">
        <v>1.0438745311870361</v>
      </c>
      <c r="K3682" s="193">
        <f>+K3681*J3682</f>
        <v>147.11414217261611</v>
      </c>
      <c r="L3682" s="186" t="s">
        <v>108</v>
      </c>
      <c r="M3682" s="50"/>
      <c r="N3682" s="50"/>
      <c r="T3682" s="10"/>
    </row>
    <row r="3683" spans="1:25" ht="30" customHeight="1" thickBot="1" x14ac:dyDescent="0.4">
      <c r="A3683" s="1199"/>
      <c r="B3683" s="1200"/>
      <c r="C3683" s="1200"/>
      <c r="D3683" s="1200"/>
      <c r="E3683" s="1200"/>
      <c r="F3683" s="1200"/>
      <c r="G3683" s="1200"/>
      <c r="H3683" s="1200"/>
      <c r="I3683" s="1200"/>
      <c r="J3683" s="1200"/>
      <c r="K3683" s="1200"/>
      <c r="L3683" s="1201"/>
      <c r="M3683" s="50"/>
      <c r="N3683" s="50"/>
      <c r="T3683" s="10"/>
    </row>
    <row r="3684" spans="1:25" ht="30" customHeight="1" x14ac:dyDescent="0.35">
      <c r="A3684" s="388" t="s">
        <v>1</v>
      </c>
      <c r="B3684" s="389">
        <v>7532</v>
      </c>
      <c r="C3684" s="1205" t="s">
        <v>1549</v>
      </c>
      <c r="D3684" s="1206"/>
      <c r="E3684" s="392" t="s">
        <v>3</v>
      </c>
      <c r="F3684" s="393" t="s">
        <v>40</v>
      </c>
      <c r="G3684" s="520" t="s">
        <v>2</v>
      </c>
      <c r="H3684" s="132">
        <v>1</v>
      </c>
      <c r="I3684" s="392" t="s">
        <v>5</v>
      </c>
      <c r="J3684" s="1207" t="s">
        <v>2874</v>
      </c>
      <c r="K3684" s="1207"/>
      <c r="L3684" s="1208"/>
      <c r="M3684" s="50"/>
      <c r="N3684" s="50"/>
      <c r="S3684" s="10"/>
      <c r="T3684" s="10"/>
    </row>
    <row r="3685" spans="1:25" ht="30" customHeight="1" x14ac:dyDescent="0.35">
      <c r="A3685" s="494" t="s">
        <v>187</v>
      </c>
      <c r="B3685" s="1280" t="s">
        <v>211</v>
      </c>
      <c r="C3685" s="1281"/>
      <c r="D3685" s="1282"/>
      <c r="E3685" s="566" t="s">
        <v>52</v>
      </c>
      <c r="F3685" s="566" t="s">
        <v>53</v>
      </c>
      <c r="G3685" s="1219" t="s">
        <v>54</v>
      </c>
      <c r="H3685" s="1220"/>
      <c r="I3685" s="185" t="s">
        <v>188</v>
      </c>
      <c r="J3685" s="185"/>
      <c r="K3685" s="399" t="s">
        <v>180</v>
      </c>
      <c r="L3685" s="400"/>
      <c r="M3685" s="50"/>
      <c r="S3685" s="10"/>
      <c r="T3685" s="10"/>
    </row>
    <row r="3686" spans="1:25" ht="30" customHeight="1" x14ac:dyDescent="0.35">
      <c r="A3686" s="186" t="s">
        <v>1550</v>
      </c>
      <c r="B3686" s="1202" t="s">
        <v>1551</v>
      </c>
      <c r="C3686" s="1203"/>
      <c r="D3686" s="1204"/>
      <c r="E3686" s="7">
        <v>2400</v>
      </c>
      <c r="F3686" s="422" t="s">
        <v>1552</v>
      </c>
      <c r="G3686" s="707">
        <v>75</v>
      </c>
      <c r="H3686" s="708" t="s">
        <v>1553</v>
      </c>
      <c r="I3686" s="204">
        <v>1.0900000000000001</v>
      </c>
      <c r="J3686" s="204"/>
      <c r="K3686" s="733">
        <f>+E3686*G3686*I3686</f>
        <v>196200</v>
      </c>
      <c r="L3686" s="422" t="s">
        <v>40</v>
      </c>
      <c r="M3686" s="50"/>
      <c r="N3686" s="50"/>
      <c r="T3686" s="10"/>
      <c r="U3686" s="10"/>
    </row>
    <row r="3687" spans="1:25" ht="30" customHeight="1" x14ac:dyDescent="0.35">
      <c r="A3687" s="790"/>
      <c r="B3687" s="1211" t="s">
        <v>1554</v>
      </c>
      <c r="C3687" s="1211"/>
      <c r="D3687" s="1211"/>
      <c r="E3687" s="194"/>
      <c r="F3687" s="186"/>
      <c r="G3687" s="186"/>
      <c r="H3687" s="186"/>
      <c r="I3687" s="186"/>
      <c r="J3687" s="186"/>
      <c r="K3687" s="194"/>
      <c r="L3687" s="186"/>
      <c r="M3687" s="50"/>
      <c r="N3687" s="50"/>
      <c r="T3687" s="10"/>
      <c r="U3687" s="10"/>
    </row>
    <row r="3688" spans="1:25" ht="30" customHeight="1" x14ac:dyDescent="0.35">
      <c r="A3688" s="186"/>
      <c r="B3688" s="567"/>
      <c r="C3688" s="567"/>
      <c r="D3688" s="567"/>
      <c r="E3688" s="194"/>
      <c r="F3688" s="1215" t="s">
        <v>195</v>
      </c>
      <c r="G3688" s="1273" t="s">
        <v>196</v>
      </c>
      <c r="H3688" s="1273"/>
      <c r="I3688" s="1273"/>
      <c r="J3688" s="1273"/>
      <c r="K3688" s="196">
        <v>1.05</v>
      </c>
      <c r="L3688" s="186"/>
      <c r="M3688" s="165"/>
      <c r="N3688" s="50"/>
      <c r="T3688" s="10"/>
    </row>
    <row r="3689" spans="1:25" ht="30" customHeight="1" x14ac:dyDescent="0.35">
      <c r="A3689" s="186"/>
      <c r="B3689" s="567"/>
      <c r="C3689" s="567"/>
      <c r="D3689" s="567"/>
      <c r="E3689" s="194"/>
      <c r="F3689" s="1216"/>
      <c r="G3689" s="1268" t="s">
        <v>2875</v>
      </c>
      <c r="H3689" s="1268"/>
      <c r="I3689" s="1268"/>
      <c r="J3689" s="1268"/>
      <c r="K3689" s="196">
        <v>1.07</v>
      </c>
      <c r="L3689" s="186"/>
      <c r="M3689" s="166"/>
      <c r="N3689" s="50"/>
      <c r="O3689" s="15"/>
      <c r="T3689" s="10"/>
      <c r="U3689" s="10"/>
    </row>
    <row r="3690" spans="1:25" ht="30" customHeight="1" x14ac:dyDescent="0.35">
      <c r="A3690" s="186"/>
      <c r="B3690" s="186"/>
      <c r="C3690" s="503"/>
      <c r="D3690" s="503"/>
      <c r="E3690" s="503"/>
      <c r="F3690" s="503"/>
      <c r="G3690" s="503"/>
      <c r="H3690" s="503"/>
      <c r="I3690" s="503"/>
      <c r="J3690" s="186" t="s">
        <v>37</v>
      </c>
      <c r="K3690" s="193">
        <f>+K3686*K3688/K3689</f>
        <v>192532.71028037381</v>
      </c>
      <c r="L3690" s="186" t="s">
        <v>40</v>
      </c>
      <c r="M3690" s="50"/>
      <c r="N3690" s="50"/>
      <c r="T3690" s="10"/>
      <c r="U3690" s="10"/>
    </row>
    <row r="3691" spans="1:25" ht="30" customHeight="1" thickBot="1" x14ac:dyDescent="0.4">
      <c r="A3691" s="186"/>
      <c r="B3691" s="186"/>
      <c r="C3691" s="503"/>
      <c r="D3691" s="503"/>
      <c r="E3691" s="503"/>
      <c r="F3691" s="503"/>
      <c r="G3691" s="1194" t="s">
        <v>257</v>
      </c>
      <c r="H3691" s="1195"/>
      <c r="I3691" s="1196"/>
      <c r="J3691" s="560">
        <f>VLOOKUP(B3684,'Mil Cost Premiums for PUCs'!$A$4:$R$285,18,FALSE)</f>
        <v>1.0485669999999998</v>
      </c>
      <c r="K3691" s="193">
        <f>+K3690*J3691</f>
        <v>201883.44642056068</v>
      </c>
      <c r="L3691" s="186" t="s">
        <v>40</v>
      </c>
      <c r="M3691" s="50"/>
      <c r="N3691" s="50"/>
      <c r="P3691" s="9"/>
      <c r="T3691" s="10"/>
    </row>
    <row r="3692" spans="1:25" ht="30" customHeight="1" thickBot="1" x14ac:dyDescent="0.4">
      <c r="A3692" s="1199"/>
      <c r="B3692" s="1200"/>
      <c r="C3692" s="1200"/>
      <c r="D3692" s="1200"/>
      <c r="E3692" s="1200"/>
      <c r="F3692" s="1200"/>
      <c r="G3692" s="1200"/>
      <c r="H3692" s="1200"/>
      <c r="I3692" s="1200"/>
      <c r="J3692" s="1200"/>
      <c r="K3692" s="1200"/>
      <c r="L3692" s="1201"/>
      <c r="N3692" s="50"/>
      <c r="T3692" s="10"/>
      <c r="U3692" s="10"/>
    </row>
    <row r="3693" spans="1:25" ht="30" customHeight="1" x14ac:dyDescent="0.35">
      <c r="A3693" s="388" t="s">
        <v>1</v>
      </c>
      <c r="B3693" s="389">
        <v>7541</v>
      </c>
      <c r="C3693" s="1205" t="s">
        <v>1555</v>
      </c>
      <c r="D3693" s="1206"/>
      <c r="E3693" s="392" t="s">
        <v>3</v>
      </c>
      <c r="F3693" s="393" t="s">
        <v>40</v>
      </c>
      <c r="G3693" s="520" t="s">
        <v>2</v>
      </c>
      <c r="H3693" s="132">
        <v>1</v>
      </c>
      <c r="I3693" s="392" t="s">
        <v>5</v>
      </c>
      <c r="J3693" s="1207" t="s">
        <v>2874</v>
      </c>
      <c r="K3693" s="1207"/>
      <c r="L3693" s="1208"/>
      <c r="M3693" s="50"/>
      <c r="N3693" s="50"/>
      <c r="T3693" s="10"/>
      <c r="U3693" s="10"/>
    </row>
    <row r="3694" spans="1:25" ht="30" customHeight="1" x14ac:dyDescent="0.35">
      <c r="A3694" s="494" t="s">
        <v>187</v>
      </c>
      <c r="B3694" s="1280" t="s">
        <v>211</v>
      </c>
      <c r="C3694" s="1281"/>
      <c r="D3694" s="1282"/>
      <c r="E3694" s="566" t="s">
        <v>52</v>
      </c>
      <c r="F3694" s="566" t="s">
        <v>53</v>
      </c>
      <c r="G3694" s="1219" t="s">
        <v>54</v>
      </c>
      <c r="H3694" s="1220"/>
      <c r="I3694" s="185" t="s">
        <v>188</v>
      </c>
      <c r="J3694" s="1074" t="s">
        <v>1556</v>
      </c>
      <c r="K3694" s="399" t="s">
        <v>180</v>
      </c>
      <c r="L3694" s="400"/>
      <c r="M3694" s="50"/>
      <c r="N3694" s="50"/>
      <c r="T3694" s="10"/>
    </row>
    <row r="3695" spans="1:25" ht="30" customHeight="1" x14ac:dyDescent="0.35">
      <c r="A3695" s="186" t="s">
        <v>1557</v>
      </c>
      <c r="B3695" s="1212" t="s">
        <v>1558</v>
      </c>
      <c r="C3695" s="1213"/>
      <c r="D3695" s="1214"/>
      <c r="E3695" s="7">
        <v>11700</v>
      </c>
      <c r="F3695" s="422" t="s">
        <v>1559</v>
      </c>
      <c r="G3695" s="707">
        <v>40</v>
      </c>
      <c r="H3695" s="708" t="s">
        <v>1560</v>
      </c>
      <c r="I3695" s="204">
        <v>0.97</v>
      </c>
      <c r="J3695" s="186">
        <v>1.07</v>
      </c>
      <c r="K3695" s="733">
        <f>+E3695*G3695*I3695*J3695</f>
        <v>485737.2</v>
      </c>
      <c r="L3695" s="422" t="s">
        <v>40</v>
      </c>
      <c r="M3695" s="50"/>
      <c r="N3695" s="50"/>
      <c r="T3695" s="10"/>
      <c r="X3695" s="396"/>
      <c r="Y3695" s="396"/>
    </row>
    <row r="3696" spans="1:25" s="396" customFormat="1" ht="30" customHeight="1" x14ac:dyDescent="0.35">
      <c r="A3696" s="186"/>
      <c r="B3696" s="567"/>
      <c r="C3696" s="567"/>
      <c r="D3696" s="567"/>
      <c r="E3696" s="194"/>
      <c r="F3696" s="1215" t="s">
        <v>195</v>
      </c>
      <c r="G3696" s="1273" t="s">
        <v>196</v>
      </c>
      <c r="H3696" s="1273"/>
      <c r="I3696" s="1273"/>
      <c r="J3696" s="1273"/>
      <c r="K3696" s="196">
        <v>1.05</v>
      </c>
      <c r="L3696" s="186"/>
      <c r="M3696" s="50"/>
      <c r="N3696" s="50"/>
      <c r="O3696" s="9"/>
      <c r="P3696" s="14"/>
      <c r="Q3696" s="9"/>
      <c r="R3696" s="9"/>
      <c r="S3696" s="9"/>
      <c r="T3696" s="10"/>
      <c r="U3696" s="9"/>
      <c r="V3696" s="9"/>
      <c r="W3696" s="9"/>
      <c r="X3696" s="9"/>
      <c r="Y3696" s="9"/>
    </row>
    <row r="3697" spans="1:21" ht="30" customHeight="1" x14ac:dyDescent="0.35">
      <c r="A3697" s="186"/>
      <c r="B3697" s="567"/>
      <c r="C3697" s="567"/>
      <c r="D3697" s="567"/>
      <c r="E3697" s="194"/>
      <c r="F3697" s="1216"/>
      <c r="G3697" s="1268" t="s">
        <v>2875</v>
      </c>
      <c r="H3697" s="1268"/>
      <c r="I3697" s="1268"/>
      <c r="J3697" s="1268"/>
      <c r="K3697" s="196">
        <v>1.07</v>
      </c>
      <c r="L3697" s="186"/>
      <c r="M3697" s="50"/>
      <c r="N3697" s="50"/>
      <c r="O3697" s="5"/>
      <c r="P3697" s="9"/>
      <c r="Q3697" s="34"/>
      <c r="R3697" s="5"/>
      <c r="S3697" s="35"/>
      <c r="U3697" s="10"/>
    </row>
    <row r="3698" spans="1:21" ht="30" customHeight="1" x14ac:dyDescent="0.35">
      <c r="A3698" s="186"/>
      <c r="B3698" s="186"/>
      <c r="C3698" s="503"/>
      <c r="D3698" s="503"/>
      <c r="E3698" s="503"/>
      <c r="F3698" s="503"/>
      <c r="G3698" s="421"/>
      <c r="H3698" s="421"/>
      <c r="I3698" s="503"/>
      <c r="J3698" s="503" t="s">
        <v>37</v>
      </c>
      <c r="K3698" s="193">
        <f>K3695*K3696/K3697</f>
        <v>476658</v>
      </c>
      <c r="L3698" s="186" t="s">
        <v>40</v>
      </c>
      <c r="M3698" s="50"/>
      <c r="U3698" s="10"/>
    </row>
    <row r="3699" spans="1:21" ht="30" customHeight="1" thickBot="1" x14ac:dyDescent="0.4">
      <c r="A3699" s="186"/>
      <c r="B3699" s="186"/>
      <c r="C3699" s="503"/>
      <c r="D3699" s="503"/>
      <c r="E3699" s="503"/>
      <c r="F3699" s="503"/>
      <c r="G3699" s="1194" t="s">
        <v>257</v>
      </c>
      <c r="H3699" s="1195"/>
      <c r="I3699" s="1196"/>
      <c r="J3699" s="560">
        <f>VLOOKUP(B3684,'Mil Cost Premiums for PUCs'!$A$4:$R$285,18,FALSE)</f>
        <v>1.0485669999999998</v>
      </c>
      <c r="K3699" s="193">
        <f>+K3698*J3699</f>
        <v>499807.84908599989</v>
      </c>
      <c r="L3699" s="186"/>
      <c r="M3699" s="50"/>
      <c r="N3699" s="50"/>
      <c r="O3699" s="15"/>
      <c r="T3699" s="10"/>
      <c r="U3699" s="10"/>
    </row>
    <row r="3700" spans="1:21" ht="30" customHeight="1" thickBot="1" x14ac:dyDescent="0.4">
      <c r="A3700" s="1199"/>
      <c r="B3700" s="1200"/>
      <c r="C3700" s="1200"/>
      <c r="D3700" s="1200"/>
      <c r="E3700" s="1200"/>
      <c r="F3700" s="1200"/>
      <c r="G3700" s="1200"/>
      <c r="H3700" s="1200"/>
      <c r="I3700" s="1200"/>
      <c r="J3700" s="1200"/>
      <c r="K3700" s="1200"/>
      <c r="L3700" s="1201"/>
      <c r="N3700" s="50"/>
      <c r="T3700" s="10"/>
      <c r="U3700" s="10"/>
    </row>
    <row r="3701" spans="1:21" ht="30" customHeight="1" x14ac:dyDescent="0.35">
      <c r="A3701" s="388" t="s">
        <v>1</v>
      </c>
      <c r="B3701" s="389">
        <v>7542</v>
      </c>
      <c r="C3701" s="1223" t="s">
        <v>1561</v>
      </c>
      <c r="D3701" s="1224"/>
      <c r="E3701" s="392" t="s">
        <v>3</v>
      </c>
      <c r="F3701" s="393" t="s">
        <v>40</v>
      </c>
      <c r="G3701" s="520" t="s">
        <v>2</v>
      </c>
      <c r="H3701" s="132">
        <v>1</v>
      </c>
      <c r="I3701" s="392" t="s">
        <v>5</v>
      </c>
      <c r="J3701" s="1207" t="s">
        <v>2481</v>
      </c>
      <c r="K3701" s="1207"/>
      <c r="L3701" s="1208"/>
      <c r="M3701" s="50"/>
      <c r="N3701" s="50"/>
      <c r="P3701" s="9"/>
      <c r="T3701" s="10"/>
    </row>
    <row r="3702" spans="1:21" ht="30" customHeight="1" x14ac:dyDescent="0.35">
      <c r="A3702" s="494" t="s">
        <v>187</v>
      </c>
      <c r="B3702" s="1280" t="s">
        <v>211</v>
      </c>
      <c r="C3702" s="1281"/>
      <c r="D3702" s="1282"/>
      <c r="E3702" s="566" t="s">
        <v>52</v>
      </c>
      <c r="F3702" s="566" t="s">
        <v>53</v>
      </c>
      <c r="G3702" s="1219" t="s">
        <v>54</v>
      </c>
      <c r="H3702" s="1220"/>
      <c r="I3702" s="185" t="s">
        <v>1051</v>
      </c>
      <c r="J3702" s="185" t="s">
        <v>188</v>
      </c>
      <c r="K3702" s="399" t="s">
        <v>180</v>
      </c>
      <c r="L3702" s="400"/>
      <c r="M3702" s="50"/>
      <c r="N3702" s="50"/>
      <c r="P3702" s="9"/>
      <c r="Q3702" s="34"/>
      <c r="R3702" s="5"/>
      <c r="S3702" s="35"/>
    </row>
    <row r="3703" spans="1:21" ht="30" customHeight="1" x14ac:dyDescent="0.35">
      <c r="A3703" s="186" t="s">
        <v>1524</v>
      </c>
      <c r="B3703" s="1212" t="s">
        <v>2530</v>
      </c>
      <c r="C3703" s="1213"/>
      <c r="D3703" s="1214"/>
      <c r="E3703" s="787">
        <f>+(44400+68500)/2+(14200+19500)/2+(12100+18000)/2</f>
        <v>88350</v>
      </c>
      <c r="F3703" s="422" t="s">
        <v>40</v>
      </c>
      <c r="G3703" s="127"/>
      <c r="H3703" s="136"/>
      <c r="I3703" s="278"/>
      <c r="J3703" s="777">
        <v>1.1100000000000001</v>
      </c>
      <c r="K3703" s="7">
        <f>+E3703*J3703</f>
        <v>98068.500000000015</v>
      </c>
      <c r="L3703" s="422" t="s">
        <v>40</v>
      </c>
      <c r="M3703" s="50"/>
      <c r="N3703" s="50"/>
      <c r="P3703" s="9"/>
      <c r="Q3703" s="34"/>
      <c r="R3703" s="5"/>
      <c r="S3703" s="35"/>
    </row>
    <row r="3704" spans="1:21" ht="30" customHeight="1" x14ac:dyDescent="0.35">
      <c r="A3704" s="186" t="s">
        <v>1508</v>
      </c>
      <c r="B3704" s="1202" t="s">
        <v>1562</v>
      </c>
      <c r="C3704" s="1203"/>
      <c r="D3704" s="1204"/>
      <c r="E3704" s="787">
        <f>+(8850+27800)/2</f>
        <v>18325</v>
      </c>
      <c r="F3704" s="422" t="s">
        <v>1505</v>
      </c>
      <c r="G3704" s="150">
        <v>18</v>
      </c>
      <c r="H3704" s="714" t="s">
        <v>1563</v>
      </c>
      <c r="I3704" s="278"/>
      <c r="J3704" s="777">
        <v>1.1100000000000001</v>
      </c>
      <c r="K3704" s="7">
        <f>+E3704*G3704*J3704</f>
        <v>366133.50000000006</v>
      </c>
      <c r="L3704" s="422" t="s">
        <v>40</v>
      </c>
      <c r="M3704" s="50"/>
      <c r="N3704" s="50"/>
      <c r="P3704" s="9"/>
      <c r="Q3704" s="34"/>
      <c r="R3704" s="5"/>
      <c r="S3704" s="35"/>
    </row>
    <row r="3705" spans="1:21" ht="30" customHeight="1" x14ac:dyDescent="0.35">
      <c r="A3705" s="186"/>
      <c r="B3705" s="1202" t="s">
        <v>1564</v>
      </c>
      <c r="C3705" s="1203"/>
      <c r="D3705" s="1204"/>
      <c r="E3705" s="787"/>
      <c r="F3705" s="422"/>
      <c r="G3705" s="127"/>
      <c r="H3705" s="714"/>
      <c r="I3705" s="278"/>
      <c r="J3705" s="765"/>
      <c r="K3705" s="7"/>
      <c r="L3705" s="422"/>
      <c r="M3705" s="50"/>
      <c r="P3705" s="9"/>
      <c r="Q3705" s="34"/>
      <c r="R3705" s="5"/>
      <c r="S3705" s="35"/>
    </row>
    <row r="3706" spans="1:21" ht="30" customHeight="1" x14ac:dyDescent="0.35">
      <c r="A3706" s="186" t="s">
        <v>501</v>
      </c>
      <c r="B3706" s="1212" t="s">
        <v>1565</v>
      </c>
      <c r="C3706" s="1213"/>
      <c r="D3706" s="1214"/>
      <c r="E3706" s="787">
        <v>0.36</v>
      </c>
      <c r="F3706" s="422" t="s">
        <v>108</v>
      </c>
      <c r="G3706" s="788">
        <f>3.5*43560</f>
        <v>152460</v>
      </c>
      <c r="H3706" s="714" t="s">
        <v>1566</v>
      </c>
      <c r="I3706" s="278"/>
      <c r="J3706" s="765">
        <v>1.1100000000000001</v>
      </c>
      <c r="K3706" s="7">
        <f>+E3706*G3706*J3706</f>
        <v>60923.016000000003</v>
      </c>
      <c r="L3706" s="422"/>
      <c r="M3706" s="50"/>
      <c r="N3706" s="50"/>
      <c r="P3706" s="9"/>
      <c r="Q3706" s="34"/>
      <c r="R3706" s="5"/>
      <c r="S3706" s="35"/>
    </row>
    <row r="3707" spans="1:21" ht="30" customHeight="1" x14ac:dyDescent="0.35">
      <c r="A3707" s="186" t="s">
        <v>501</v>
      </c>
      <c r="B3707" s="1202" t="s">
        <v>1567</v>
      </c>
      <c r="C3707" s="1203"/>
      <c r="D3707" s="1204"/>
      <c r="E3707" s="787">
        <v>0.53</v>
      </c>
      <c r="F3707" s="422" t="s">
        <v>108</v>
      </c>
      <c r="G3707" s="788">
        <f>3.5*43560</f>
        <v>152460</v>
      </c>
      <c r="H3707" s="714" t="s">
        <v>1566</v>
      </c>
      <c r="I3707" s="278"/>
      <c r="J3707" s="765">
        <v>1.1100000000000001</v>
      </c>
      <c r="K3707" s="7">
        <f>+E3707*G3707*J3707</f>
        <v>89692.218000000008</v>
      </c>
      <c r="L3707" s="422"/>
      <c r="M3707" s="50"/>
      <c r="N3707" s="50"/>
      <c r="P3707" s="9"/>
      <c r="Q3707" s="34"/>
      <c r="R3707" s="5"/>
      <c r="S3707" s="35"/>
    </row>
    <row r="3708" spans="1:21" ht="30" customHeight="1" x14ac:dyDescent="0.35">
      <c r="A3708" s="186" t="s">
        <v>1524</v>
      </c>
      <c r="B3708" s="1202" t="s">
        <v>1568</v>
      </c>
      <c r="C3708" s="1203"/>
      <c r="D3708" s="1204"/>
      <c r="E3708" s="352">
        <f>(3875+6550)/2</f>
        <v>5212.5</v>
      </c>
      <c r="F3708" s="707" t="s">
        <v>40</v>
      </c>
      <c r="G3708" s="127"/>
      <c r="H3708" s="136"/>
      <c r="I3708" s="278"/>
      <c r="J3708" s="777">
        <v>1.1100000000000001</v>
      </c>
      <c r="K3708" s="194">
        <f>+E3708*J3708</f>
        <v>5785.8750000000009</v>
      </c>
      <c r="L3708" s="422"/>
      <c r="M3708" s="50"/>
      <c r="N3708" s="50"/>
    </row>
    <row r="3709" spans="1:21" ht="30" customHeight="1" x14ac:dyDescent="0.35">
      <c r="A3709" s="186" t="s">
        <v>308</v>
      </c>
      <c r="B3709" s="1212" t="s">
        <v>1569</v>
      </c>
      <c r="C3709" s="1213"/>
      <c r="D3709" s="1214"/>
      <c r="E3709" s="353">
        <f>(4500+11700)/2</f>
        <v>8100</v>
      </c>
      <c r="F3709" s="707" t="s">
        <v>40</v>
      </c>
      <c r="G3709" s="127"/>
      <c r="H3709" s="136"/>
      <c r="I3709" s="278"/>
      <c r="J3709" s="777">
        <v>1.1100000000000001</v>
      </c>
      <c r="K3709" s="7">
        <f>E3709*J3709</f>
        <v>8991</v>
      </c>
      <c r="L3709" s="422"/>
      <c r="M3709" s="50"/>
      <c r="N3709" s="50"/>
      <c r="P3709" s="9"/>
      <c r="Q3709" s="34"/>
      <c r="R3709" s="5"/>
      <c r="S3709" s="35"/>
    </row>
    <row r="3710" spans="1:21" ht="30" customHeight="1" x14ac:dyDescent="0.35">
      <c r="A3710" s="186" t="s">
        <v>1491</v>
      </c>
      <c r="B3710" s="1212" t="s">
        <v>1570</v>
      </c>
      <c r="C3710" s="1213"/>
      <c r="D3710" s="1214"/>
      <c r="E3710" s="352">
        <v>28.75</v>
      </c>
      <c r="F3710" s="707" t="s">
        <v>28</v>
      </c>
      <c r="G3710" s="127">
        <v>250</v>
      </c>
      <c r="H3710" s="136" t="s">
        <v>28</v>
      </c>
      <c r="I3710" s="278"/>
      <c r="J3710" s="777">
        <v>1.1100000000000001</v>
      </c>
      <c r="K3710" s="7">
        <f>+E3710*G3710*J3710</f>
        <v>7978.1250000000009</v>
      </c>
      <c r="L3710" s="422"/>
      <c r="M3710" s="50"/>
      <c r="N3710" s="50"/>
      <c r="O3710" s="5"/>
      <c r="P3710" s="9"/>
      <c r="Q3710" s="34"/>
      <c r="R3710" s="5"/>
      <c r="S3710" s="35"/>
    </row>
    <row r="3711" spans="1:21" ht="30" customHeight="1" x14ac:dyDescent="0.35">
      <c r="A3711" s="186" t="s">
        <v>1540</v>
      </c>
      <c r="B3711" s="1202" t="s">
        <v>1571</v>
      </c>
      <c r="C3711" s="1203"/>
      <c r="D3711" s="1204"/>
      <c r="E3711" s="787">
        <f>+(88.5+118)/2</f>
        <v>103.25</v>
      </c>
      <c r="F3711" s="422" t="s">
        <v>1542</v>
      </c>
      <c r="G3711" s="127">
        <v>600</v>
      </c>
      <c r="H3711" s="714" t="s">
        <v>1572</v>
      </c>
      <c r="I3711" s="278"/>
      <c r="J3711" s="777">
        <v>1.1100000000000001</v>
      </c>
      <c r="K3711" s="7">
        <f>+E3711*G3711*J3711</f>
        <v>68764.5</v>
      </c>
      <c r="L3711" s="422"/>
      <c r="M3711" s="50"/>
      <c r="N3711" s="50"/>
      <c r="O3711" s="5"/>
      <c r="P3711" s="9"/>
      <c r="Q3711" s="34"/>
      <c r="R3711" s="5"/>
      <c r="S3711" s="35"/>
    </row>
    <row r="3712" spans="1:21" ht="30" customHeight="1" x14ac:dyDescent="0.35">
      <c r="A3712" s="186"/>
      <c r="B3712" s="1202" t="s">
        <v>1573</v>
      </c>
      <c r="C3712" s="1203"/>
      <c r="D3712" s="1204"/>
      <c r="E3712" s="787"/>
      <c r="F3712" s="422"/>
      <c r="G3712" s="127"/>
      <c r="H3712" s="714"/>
      <c r="I3712" s="278"/>
      <c r="J3712" s="765" t="s">
        <v>223</v>
      </c>
      <c r="K3712" s="7">
        <f>SUM(K3706:K3711)</f>
        <v>242134.734</v>
      </c>
      <c r="L3712" s="422" t="s">
        <v>40</v>
      </c>
      <c r="M3712" s="50"/>
      <c r="N3712" s="50"/>
      <c r="O3712" s="5"/>
      <c r="P3712" s="9"/>
      <c r="Q3712" s="34"/>
      <c r="R3712" s="5"/>
      <c r="S3712" s="35"/>
    </row>
    <row r="3713" spans="1:23" ht="30" customHeight="1" x14ac:dyDescent="0.35">
      <c r="A3713" s="186"/>
      <c r="B3713" s="1202" t="s">
        <v>1574</v>
      </c>
      <c r="C3713" s="1203"/>
      <c r="D3713" s="1204"/>
      <c r="E3713" s="787"/>
      <c r="F3713" s="422"/>
      <c r="G3713" s="127"/>
      <c r="H3713" s="714"/>
      <c r="I3713" s="278"/>
      <c r="J3713" s="765"/>
      <c r="K3713" s="7"/>
      <c r="L3713" s="186"/>
      <c r="M3713" s="50"/>
      <c r="N3713" s="50"/>
      <c r="O3713" s="5"/>
      <c r="P3713" s="9"/>
      <c r="Q3713" s="34"/>
      <c r="R3713" s="5"/>
      <c r="S3713" s="35"/>
    </row>
    <row r="3714" spans="1:23" ht="30" customHeight="1" x14ac:dyDescent="0.35">
      <c r="A3714" s="186" t="s">
        <v>501</v>
      </c>
      <c r="B3714" s="1202" t="s">
        <v>2531</v>
      </c>
      <c r="C3714" s="1203"/>
      <c r="D3714" s="1204"/>
      <c r="E3714" s="787">
        <v>0.53</v>
      </c>
      <c r="F3714" s="422" t="s">
        <v>108</v>
      </c>
      <c r="G3714" s="788">
        <v>57600</v>
      </c>
      <c r="H3714" s="422" t="s">
        <v>108</v>
      </c>
      <c r="I3714" s="278"/>
      <c r="J3714" s="777">
        <v>1.1100000000000001</v>
      </c>
      <c r="K3714" s="7">
        <f>+E3714*G3714*J3714</f>
        <v>33886.080000000002</v>
      </c>
      <c r="L3714" s="422" t="s">
        <v>40</v>
      </c>
      <c r="M3714" s="50"/>
      <c r="N3714" s="50"/>
      <c r="O3714" s="5"/>
      <c r="P3714" s="9"/>
      <c r="Q3714" s="34"/>
      <c r="R3714" s="5"/>
      <c r="S3714" s="35"/>
    </row>
    <row r="3715" spans="1:23" ht="30" customHeight="1" x14ac:dyDescent="0.35">
      <c r="A3715" s="186" t="s">
        <v>308</v>
      </c>
      <c r="B3715" s="1202" t="s">
        <v>1576</v>
      </c>
      <c r="C3715" s="1203"/>
      <c r="D3715" s="1204"/>
      <c r="E3715" s="787">
        <f>(3500+8800)/2</f>
        <v>6150</v>
      </c>
      <c r="F3715" s="707" t="s">
        <v>40</v>
      </c>
      <c r="G3715" s="788"/>
      <c r="H3715" s="708"/>
      <c r="I3715" s="278"/>
      <c r="J3715" s="777">
        <v>1.1100000000000001</v>
      </c>
      <c r="K3715" s="7">
        <f>E3715*J3715</f>
        <v>6826.5000000000009</v>
      </c>
      <c r="L3715" s="422" t="s">
        <v>40</v>
      </c>
      <c r="M3715" s="97"/>
      <c r="N3715" s="50"/>
      <c r="O3715" s="5"/>
      <c r="P3715" s="9"/>
      <c r="Q3715" s="34"/>
      <c r="R3715" s="5"/>
      <c r="S3715" s="35"/>
    </row>
    <row r="3716" spans="1:23" ht="30" customHeight="1" x14ac:dyDescent="0.35">
      <c r="A3716" s="186"/>
      <c r="B3716" s="1202" t="s">
        <v>1577</v>
      </c>
      <c r="C3716" s="1203"/>
      <c r="D3716" s="1204"/>
      <c r="E3716" s="787"/>
      <c r="F3716" s="707"/>
      <c r="G3716" s="788"/>
      <c r="H3716" s="708"/>
      <c r="I3716" s="278"/>
      <c r="J3716" s="765" t="s">
        <v>223</v>
      </c>
      <c r="K3716" s="7">
        <f>SUM(K3714,K3715)</f>
        <v>40712.58</v>
      </c>
      <c r="L3716" s="422" t="s">
        <v>40</v>
      </c>
      <c r="M3716" s="50"/>
      <c r="N3716" s="50"/>
      <c r="O3716" s="5"/>
      <c r="P3716" s="9"/>
      <c r="Q3716" s="34"/>
      <c r="R3716" s="5"/>
      <c r="S3716" s="35"/>
    </row>
    <row r="3717" spans="1:23" ht="30" customHeight="1" x14ac:dyDescent="0.35">
      <c r="A3717" s="186"/>
      <c r="B3717" s="1202" t="s">
        <v>1578</v>
      </c>
      <c r="C3717" s="1203"/>
      <c r="D3717" s="1204"/>
      <c r="E3717" s="787"/>
      <c r="F3717" s="707"/>
      <c r="G3717" s="127"/>
      <c r="H3717" s="714"/>
      <c r="I3717" s="278"/>
      <c r="J3717" s="765"/>
      <c r="K3717" s="7"/>
      <c r="L3717" s="186"/>
      <c r="M3717" s="50"/>
      <c r="N3717" s="50"/>
    </row>
    <row r="3718" spans="1:23" ht="30" customHeight="1" x14ac:dyDescent="0.35">
      <c r="A3718" s="186" t="s">
        <v>501</v>
      </c>
      <c r="B3718" s="1202" t="s">
        <v>1575</v>
      </c>
      <c r="C3718" s="1203"/>
      <c r="D3718" s="1204"/>
      <c r="E3718" s="787">
        <v>0.53</v>
      </c>
      <c r="F3718" s="422" t="s">
        <v>108</v>
      </c>
      <c r="G3718" s="788">
        <v>75250</v>
      </c>
      <c r="H3718" s="422" t="s">
        <v>108</v>
      </c>
      <c r="I3718" s="278"/>
      <c r="J3718" s="777">
        <v>1.1100000000000001</v>
      </c>
      <c r="K3718" s="7">
        <f>+E3718*G3718*J3718</f>
        <v>44269.575000000004</v>
      </c>
      <c r="L3718" s="422" t="s">
        <v>40</v>
      </c>
      <c r="M3718" s="50"/>
      <c r="N3718" s="50"/>
      <c r="O3718" s="5"/>
      <c r="P3718" s="9"/>
      <c r="Q3718" s="34"/>
      <c r="R3718" s="5"/>
      <c r="S3718" s="35"/>
    </row>
    <row r="3719" spans="1:23" ht="30" customHeight="1" x14ac:dyDescent="0.35">
      <c r="A3719" s="186"/>
      <c r="B3719" s="1202" t="s">
        <v>1579</v>
      </c>
      <c r="C3719" s="1203"/>
      <c r="D3719" s="1204"/>
      <c r="E3719" s="787"/>
      <c r="F3719" s="707"/>
      <c r="G3719" s="788"/>
      <c r="H3719" s="714"/>
      <c r="I3719" s="278"/>
      <c r="J3719" s="765"/>
      <c r="K3719" s="7"/>
      <c r="L3719" s="422"/>
      <c r="M3719" s="104"/>
      <c r="N3719" s="50"/>
      <c r="O3719" s="5"/>
      <c r="P3719" s="9"/>
      <c r="Q3719" s="34"/>
      <c r="R3719" s="5"/>
      <c r="S3719" s="35"/>
    </row>
    <row r="3720" spans="1:23" ht="30" customHeight="1" x14ac:dyDescent="0.35">
      <c r="A3720" s="186" t="s">
        <v>501</v>
      </c>
      <c r="B3720" s="1212" t="s">
        <v>1580</v>
      </c>
      <c r="C3720" s="1213"/>
      <c r="D3720" s="1214"/>
      <c r="E3720" s="787">
        <v>0.36</v>
      </c>
      <c r="F3720" s="422" t="s">
        <v>108</v>
      </c>
      <c r="G3720" s="788">
        <v>63360</v>
      </c>
      <c r="H3720" s="136" t="s">
        <v>214</v>
      </c>
      <c r="I3720" s="278"/>
      <c r="J3720" s="777">
        <v>1.1100000000000001</v>
      </c>
      <c r="K3720" s="7">
        <f>+E3720*G3720*J3720</f>
        <v>25318.655999999999</v>
      </c>
      <c r="L3720" s="422" t="s">
        <v>40</v>
      </c>
      <c r="M3720" s="50"/>
      <c r="N3720" s="50"/>
      <c r="O3720" s="5"/>
      <c r="P3720" s="9"/>
      <c r="Q3720" s="34"/>
      <c r="R3720" s="5"/>
      <c r="S3720" s="35"/>
    </row>
    <row r="3721" spans="1:23" ht="30" customHeight="1" x14ac:dyDescent="0.35">
      <c r="A3721" s="186" t="s">
        <v>501</v>
      </c>
      <c r="B3721" s="1212" t="s">
        <v>1581</v>
      </c>
      <c r="C3721" s="1213"/>
      <c r="D3721" s="1214"/>
      <c r="E3721" s="1075">
        <v>0.55000000000000004</v>
      </c>
      <c r="F3721" s="422" t="s">
        <v>108</v>
      </c>
      <c r="G3721" s="788">
        <v>63360</v>
      </c>
      <c r="H3721" s="136" t="s">
        <v>214</v>
      </c>
      <c r="I3721" s="278"/>
      <c r="J3721" s="777">
        <v>1.1100000000000001</v>
      </c>
      <c r="K3721" s="7">
        <f>+E3721*G3721*J3721</f>
        <v>38681.280000000006</v>
      </c>
      <c r="L3721" s="422" t="s">
        <v>40</v>
      </c>
      <c r="M3721" s="50"/>
      <c r="N3721" s="50"/>
      <c r="O3721" s="5"/>
      <c r="P3721" s="9"/>
      <c r="Q3721" s="34"/>
      <c r="R3721" s="5"/>
      <c r="S3721" s="35"/>
    </row>
    <row r="3722" spans="1:23" ht="30" customHeight="1" x14ac:dyDescent="0.35">
      <c r="A3722" s="186" t="s">
        <v>501</v>
      </c>
      <c r="B3722" s="1212" t="s">
        <v>1582</v>
      </c>
      <c r="C3722" s="1213"/>
      <c r="D3722" s="1214"/>
      <c r="E3722" s="1075">
        <v>4.4000000000000004</v>
      </c>
      <c r="F3722" s="422" t="s">
        <v>28</v>
      </c>
      <c r="G3722" s="788">
        <v>21120</v>
      </c>
      <c r="H3722" s="136" t="s">
        <v>336</v>
      </c>
      <c r="I3722" s="278"/>
      <c r="J3722" s="777">
        <v>1.1100000000000001</v>
      </c>
      <c r="K3722" s="7">
        <f>+E3722*G3722*J3722</f>
        <v>103150.08000000003</v>
      </c>
      <c r="L3722" s="422" t="s">
        <v>40</v>
      </c>
      <c r="M3722" s="50"/>
      <c r="N3722" s="50"/>
      <c r="O3722" s="5"/>
      <c r="P3722" s="9"/>
      <c r="Q3722" s="34"/>
      <c r="R3722" s="5"/>
      <c r="S3722" s="35"/>
    </row>
    <row r="3723" spans="1:23" customFormat="1" ht="30" customHeight="1" x14ac:dyDescent="0.35">
      <c r="A3723" s="755"/>
      <c r="B3723" s="1511" t="s">
        <v>1583</v>
      </c>
      <c r="C3723" s="1521"/>
      <c r="D3723" s="1237"/>
      <c r="E3723" s="1076"/>
      <c r="F3723" s="350"/>
      <c r="G3723" s="186"/>
      <c r="H3723" s="186"/>
      <c r="I3723" s="755"/>
      <c r="J3723" s="755" t="s">
        <v>223</v>
      </c>
      <c r="K3723" s="167">
        <f>SUM(K3720:K3722)</f>
        <v>167150.01600000003</v>
      </c>
      <c r="L3723" s="422" t="s">
        <v>40</v>
      </c>
      <c r="M3723" s="50"/>
      <c r="O3723" s="5"/>
      <c r="P3723" s="14"/>
      <c r="Q3723" s="9"/>
      <c r="R3723" s="9"/>
      <c r="S3723" s="9"/>
      <c r="T3723" s="10"/>
      <c r="U3723" s="10"/>
      <c r="V3723" s="9"/>
      <c r="W3723" s="9"/>
    </row>
    <row r="3724" spans="1:23" customFormat="1" ht="30" customHeight="1" x14ac:dyDescent="0.35">
      <c r="A3724" s="503"/>
      <c r="B3724" s="1613"/>
      <c r="C3724" s="1614"/>
      <c r="D3724" s="1465"/>
      <c r="E3724" s="503"/>
      <c r="F3724" s="503"/>
      <c r="G3724" s="503"/>
      <c r="H3724" s="503"/>
      <c r="I3724" s="1464" t="s">
        <v>1584</v>
      </c>
      <c r="J3724" s="1503"/>
      <c r="K3724" s="984">
        <f>+K3703+K3704+K3712+K3716+K3718+K3723</f>
        <v>958468.90500000003</v>
      </c>
      <c r="L3724" s="422" t="s">
        <v>40</v>
      </c>
      <c r="M3724" s="165"/>
      <c r="O3724" s="5"/>
      <c r="P3724" s="14"/>
      <c r="Q3724" s="9"/>
      <c r="R3724" s="9"/>
      <c r="S3724" s="9"/>
      <c r="T3724" s="10"/>
      <c r="U3724" s="10"/>
      <c r="V3724" s="9"/>
      <c r="W3724" s="9"/>
    </row>
    <row r="3725" spans="1:23" customFormat="1" ht="30" customHeight="1" x14ac:dyDescent="0.35">
      <c r="A3725" s="1077"/>
      <c r="B3725" s="1615" t="s">
        <v>1585</v>
      </c>
      <c r="C3725" s="1616"/>
      <c r="D3725" s="1617"/>
      <c r="E3725" s="7"/>
      <c r="F3725" s="422"/>
      <c r="G3725" s="422"/>
      <c r="H3725" s="422"/>
      <c r="I3725" s="1464" t="s">
        <v>1586</v>
      </c>
      <c r="J3725" s="1503"/>
      <c r="K3725" s="7">
        <f>+K3724/6</f>
        <v>159744.8175</v>
      </c>
      <c r="L3725" s="422" t="s">
        <v>40</v>
      </c>
      <c r="M3725" s="165"/>
      <c r="O3725" s="396"/>
      <c r="P3725" s="384"/>
      <c r="Q3725" s="396"/>
      <c r="R3725" s="396"/>
      <c r="S3725" s="396"/>
      <c r="T3725" s="396"/>
      <c r="U3725" s="396"/>
      <c r="V3725" s="396"/>
      <c r="W3725" s="396"/>
    </row>
    <row r="3726" spans="1:23" customFormat="1" ht="30" customHeight="1" x14ac:dyDescent="0.35">
      <c r="A3726" s="186"/>
      <c r="B3726" s="567"/>
      <c r="C3726" s="567"/>
      <c r="D3726" s="567"/>
      <c r="E3726" s="194"/>
      <c r="F3726" s="1215" t="s">
        <v>195</v>
      </c>
      <c r="G3726" s="1273" t="s">
        <v>196</v>
      </c>
      <c r="H3726" s="1273"/>
      <c r="I3726" s="1273"/>
      <c r="J3726" s="1273"/>
      <c r="K3726" s="196">
        <v>1.06</v>
      </c>
      <c r="L3726" s="186"/>
      <c r="M3726" s="50"/>
      <c r="O3726" s="9"/>
      <c r="P3726" s="14"/>
      <c r="Q3726" s="9"/>
      <c r="R3726" s="9"/>
      <c r="S3726" s="9"/>
      <c r="T3726" s="9"/>
      <c r="U3726" s="9"/>
      <c r="V3726" s="9"/>
      <c r="W3726" s="9"/>
    </row>
    <row r="3727" spans="1:23" customFormat="1" ht="30" customHeight="1" x14ac:dyDescent="0.35">
      <c r="A3727" s="186"/>
      <c r="B3727" s="567"/>
      <c r="C3727" s="567"/>
      <c r="D3727" s="567"/>
      <c r="E3727" s="194"/>
      <c r="F3727" s="1216"/>
      <c r="G3727" s="1268" t="s">
        <v>2477</v>
      </c>
      <c r="H3727" s="1268"/>
      <c r="I3727" s="1268"/>
      <c r="J3727" s="1268"/>
      <c r="K3727" s="196">
        <v>1.05</v>
      </c>
      <c r="L3727" s="186"/>
      <c r="M3727" s="50"/>
      <c r="O3727" s="539"/>
      <c r="P3727" s="9"/>
      <c r="Q3727" s="34"/>
      <c r="R3727" s="5"/>
      <c r="S3727" s="35"/>
      <c r="T3727" s="9"/>
      <c r="U3727" s="9"/>
      <c r="V3727" s="9"/>
      <c r="W3727" s="9"/>
    </row>
    <row r="3728" spans="1:23" customFormat="1" ht="30" customHeight="1" x14ac:dyDescent="0.35">
      <c r="A3728" s="186"/>
      <c r="B3728" s="1078"/>
      <c r="C3728" s="841"/>
      <c r="D3728" s="1079"/>
      <c r="E3728" s="503"/>
      <c r="F3728" s="503"/>
      <c r="G3728" s="503"/>
      <c r="H3728" s="503"/>
      <c r="I3728" s="503"/>
      <c r="J3728" s="401" t="s">
        <v>37</v>
      </c>
      <c r="K3728" s="198">
        <f>+K3725*K3726/K3727</f>
        <v>161266.19671428573</v>
      </c>
      <c r="L3728" s="186" t="s">
        <v>40</v>
      </c>
      <c r="M3728" s="50"/>
      <c r="O3728" s="539"/>
      <c r="P3728" s="9"/>
      <c r="Q3728" s="34"/>
      <c r="R3728" s="5"/>
      <c r="S3728" s="35"/>
      <c r="T3728" s="9"/>
      <c r="U3728" s="9"/>
      <c r="V3728" s="9"/>
      <c r="W3728" s="9"/>
    </row>
    <row r="3729" spans="1:26" customFormat="1" ht="30" customHeight="1" x14ac:dyDescent="0.35">
      <c r="A3729" s="186"/>
      <c r="B3729" s="1080"/>
      <c r="C3729" s="851"/>
      <c r="D3729" s="1081"/>
      <c r="E3729" s="503"/>
      <c r="F3729" s="503"/>
      <c r="G3729" s="1198" t="s">
        <v>257</v>
      </c>
      <c r="H3729" s="1198"/>
      <c r="I3729" s="1198"/>
      <c r="J3729" s="560">
        <f>VLOOKUP(B3701,'Mil Cost Premiums for PUCs'!$A$4:$R$285,18,FALSE)</f>
        <v>1.0485669999999998</v>
      </c>
      <c r="K3729" s="198">
        <f>+K3728*J3729</f>
        <v>169098.41209010841</v>
      </c>
      <c r="L3729" s="186" t="s">
        <v>40</v>
      </c>
      <c r="M3729" s="50"/>
      <c r="O3729" s="5"/>
      <c r="P3729" s="9"/>
      <c r="Q3729" s="34"/>
      <c r="R3729" s="5"/>
      <c r="S3729" s="35"/>
      <c r="T3729" s="9"/>
      <c r="U3729" s="9"/>
      <c r="V3729" s="9"/>
      <c r="W3729" s="9"/>
    </row>
    <row r="3730" spans="1:26" ht="30" customHeight="1" thickBot="1" x14ac:dyDescent="0.4">
      <c r="A3730" s="186"/>
      <c r="B3730" s="1080"/>
      <c r="C3730" s="851"/>
      <c r="D3730" s="1081"/>
      <c r="E3730" s="503"/>
      <c r="F3730" s="503"/>
      <c r="G3730" s="1309" t="s">
        <v>3000</v>
      </c>
      <c r="H3730" s="1310"/>
      <c r="I3730" s="1311"/>
      <c r="J3730" s="560">
        <v>1.0438745311870361</v>
      </c>
      <c r="K3730" s="198">
        <f>+K3729*J3730</f>
        <v>176517.52564503415</v>
      </c>
      <c r="L3730" s="186" t="s">
        <v>40</v>
      </c>
      <c r="M3730" s="50"/>
      <c r="N3730" s="50"/>
      <c r="O3730" s="539"/>
      <c r="P3730" s="9"/>
      <c r="Q3730" s="34"/>
      <c r="R3730" s="5"/>
      <c r="S3730" s="35"/>
    </row>
    <row r="3731" spans="1:26" ht="30" customHeight="1" thickBot="1" x14ac:dyDescent="0.4">
      <c r="A3731" s="1199"/>
      <c r="B3731" s="1200"/>
      <c r="C3731" s="1200"/>
      <c r="D3731" s="1200"/>
      <c r="E3731" s="1200"/>
      <c r="F3731" s="1200"/>
      <c r="G3731" s="1200"/>
      <c r="H3731" s="1200"/>
      <c r="I3731" s="1200"/>
      <c r="J3731" s="1200"/>
      <c r="K3731" s="1200"/>
      <c r="L3731" s="1201"/>
      <c r="M3731" s="50"/>
      <c r="N3731" s="96"/>
      <c r="O3731" s="5"/>
      <c r="P3731" s="9"/>
      <c r="Q3731" s="34"/>
      <c r="R3731" s="5"/>
      <c r="S3731" s="35"/>
    </row>
    <row r="3732" spans="1:26" ht="30" customHeight="1" x14ac:dyDescent="0.35">
      <c r="A3732" s="388" t="s">
        <v>1</v>
      </c>
      <c r="B3732" s="389">
        <v>7601</v>
      </c>
      <c r="C3732" s="1205" t="s">
        <v>1587</v>
      </c>
      <c r="D3732" s="1206"/>
      <c r="E3732" s="392" t="s">
        <v>3</v>
      </c>
      <c r="F3732" s="393" t="s">
        <v>108</v>
      </c>
      <c r="G3732" s="390" t="s">
        <v>38</v>
      </c>
      <c r="H3732" s="132">
        <v>17065.240293040199</v>
      </c>
      <c r="I3732" s="392" t="s">
        <v>5</v>
      </c>
      <c r="J3732" s="1207" t="s">
        <v>2481</v>
      </c>
      <c r="K3732" s="1207"/>
      <c r="L3732" s="1208"/>
      <c r="M3732" s="50"/>
      <c r="N3732" s="50"/>
      <c r="O3732" s="5"/>
      <c r="P3732" s="9"/>
      <c r="Q3732" s="34"/>
      <c r="R3732" s="5"/>
      <c r="S3732" s="35"/>
    </row>
    <row r="3733" spans="1:26" ht="30" customHeight="1" x14ac:dyDescent="0.35">
      <c r="A3733" s="494" t="s">
        <v>187</v>
      </c>
      <c r="B3733" s="1280" t="s">
        <v>211</v>
      </c>
      <c r="C3733" s="1281"/>
      <c r="D3733" s="1282"/>
      <c r="E3733" s="566" t="s">
        <v>52</v>
      </c>
      <c r="F3733" s="566" t="s">
        <v>53</v>
      </c>
      <c r="G3733" s="1219" t="s">
        <v>54</v>
      </c>
      <c r="H3733" s="1220"/>
      <c r="I3733" s="185" t="s">
        <v>1051</v>
      </c>
      <c r="J3733" s="185" t="s">
        <v>188</v>
      </c>
      <c r="K3733" s="399" t="s">
        <v>180</v>
      </c>
      <c r="L3733" s="400"/>
      <c r="M3733" s="50"/>
      <c r="N3733" s="50"/>
      <c r="O3733" s="5"/>
      <c r="P3733" s="9"/>
      <c r="Q3733" s="34"/>
      <c r="R3733" s="5"/>
      <c r="S3733" s="35"/>
    </row>
    <row r="3734" spans="1:26" ht="30" customHeight="1" x14ac:dyDescent="0.35">
      <c r="A3734" s="186" t="s">
        <v>1588</v>
      </c>
      <c r="B3734" s="1202" t="s">
        <v>1589</v>
      </c>
      <c r="C3734" s="1203"/>
      <c r="D3734" s="1204"/>
      <c r="E3734" s="7">
        <v>244</v>
      </c>
      <c r="F3734" s="422" t="s">
        <v>108</v>
      </c>
      <c r="G3734" s="707"/>
      <c r="H3734" s="708"/>
      <c r="I3734" s="278"/>
      <c r="J3734" s="186">
        <v>1.21</v>
      </c>
      <c r="K3734" s="733">
        <f>+E3734*J3734</f>
        <v>295.24</v>
      </c>
      <c r="L3734" s="422" t="s">
        <v>108</v>
      </c>
      <c r="M3734" s="50"/>
      <c r="N3734" s="50"/>
      <c r="O3734" s="5"/>
      <c r="P3734" s="9"/>
      <c r="Q3734" s="34"/>
      <c r="R3734" s="5"/>
      <c r="S3734" s="35"/>
    </row>
    <row r="3735" spans="1:26" ht="30" customHeight="1" x14ac:dyDescent="0.35">
      <c r="A3735" s="1016" t="s">
        <v>1444</v>
      </c>
      <c r="B3735" s="1202" t="s">
        <v>439</v>
      </c>
      <c r="C3735" s="1203"/>
      <c r="D3735" s="1204"/>
      <c r="E3735" s="7">
        <v>5.09</v>
      </c>
      <c r="F3735" s="422" t="s">
        <v>108</v>
      </c>
      <c r="G3735" s="707"/>
      <c r="H3735" s="708"/>
      <c r="I3735" s="278"/>
      <c r="J3735" s="186">
        <v>1.21</v>
      </c>
      <c r="K3735" s="733">
        <f>+E3735*J3735</f>
        <v>6.1589</v>
      </c>
      <c r="L3735" s="422" t="s">
        <v>108</v>
      </c>
      <c r="M3735" s="50"/>
      <c r="N3735" s="50"/>
      <c r="O3735" s="539"/>
      <c r="P3735" s="9"/>
      <c r="Q3735" s="34"/>
      <c r="R3735" s="5"/>
      <c r="S3735" s="35"/>
    </row>
    <row r="3736" spans="1:26" ht="30" customHeight="1" x14ac:dyDescent="0.35">
      <c r="A3736" s="790"/>
      <c r="B3736" s="1202"/>
      <c r="C3736" s="1203"/>
      <c r="D3736" s="1204"/>
      <c r="E3736" s="194"/>
      <c r="F3736" s="422"/>
      <c r="G3736" s="127"/>
      <c r="H3736" s="136"/>
      <c r="I3736" s="186"/>
      <c r="J3736" s="186" t="s">
        <v>223</v>
      </c>
      <c r="K3736" s="193">
        <f>SUM(K3734:K3735)</f>
        <v>301.39890000000003</v>
      </c>
      <c r="L3736" s="186" t="s">
        <v>108</v>
      </c>
      <c r="M3736" s="50"/>
      <c r="N3736" s="50"/>
      <c r="O3736" s="5"/>
      <c r="P3736" s="9"/>
      <c r="Q3736" s="34"/>
      <c r="R3736" s="5"/>
      <c r="S3736" s="35"/>
    </row>
    <row r="3737" spans="1:26" ht="30" customHeight="1" x14ac:dyDescent="0.35">
      <c r="A3737" s="186"/>
      <c r="B3737" s="567"/>
      <c r="C3737" s="567"/>
      <c r="D3737" s="567"/>
      <c r="E3737" s="194"/>
      <c r="F3737" s="1215" t="s">
        <v>195</v>
      </c>
      <c r="G3737" s="1273" t="s">
        <v>196</v>
      </c>
      <c r="H3737" s="1273"/>
      <c r="I3737" s="1273"/>
      <c r="J3737" s="1273"/>
      <c r="K3737" s="196">
        <v>1.06</v>
      </c>
      <c r="L3737" s="186"/>
      <c r="M3737" s="96"/>
      <c r="N3737" s="50"/>
      <c r="O3737" s="539"/>
      <c r="P3737" s="9"/>
      <c r="Q3737" s="34"/>
      <c r="R3737" s="5"/>
      <c r="S3737" s="35"/>
      <c r="X3737" s="396"/>
      <c r="Y3737" s="396"/>
    </row>
    <row r="3738" spans="1:26" ht="30" customHeight="1" x14ac:dyDescent="0.35">
      <c r="A3738" s="186"/>
      <c r="B3738" s="567"/>
      <c r="C3738" s="567"/>
      <c r="D3738" s="567"/>
      <c r="E3738" s="194"/>
      <c r="F3738" s="1216"/>
      <c r="G3738" s="1268" t="s">
        <v>2477</v>
      </c>
      <c r="H3738" s="1268"/>
      <c r="I3738" s="1268"/>
      <c r="J3738" s="1268"/>
      <c r="K3738" s="196">
        <v>1.05</v>
      </c>
      <c r="L3738" s="186"/>
      <c r="M3738" s="50"/>
      <c r="N3738" s="50"/>
      <c r="O3738" s="5"/>
      <c r="P3738" s="9"/>
      <c r="Q3738" s="34"/>
      <c r="R3738" s="5"/>
      <c r="S3738" s="35"/>
      <c r="X3738" s="396"/>
      <c r="Y3738" s="396"/>
      <c r="Z3738" s="396"/>
    </row>
    <row r="3739" spans="1:26" ht="30" customHeight="1" x14ac:dyDescent="0.35">
      <c r="A3739" s="790"/>
      <c r="B3739" s="1202"/>
      <c r="C3739" s="1203"/>
      <c r="D3739" s="1204"/>
      <c r="E3739" s="194"/>
      <c r="F3739" s="422"/>
      <c r="G3739" s="127"/>
      <c r="H3739" s="136"/>
      <c r="I3739" s="186"/>
      <c r="J3739" s="186" t="s">
        <v>37</v>
      </c>
      <c r="K3739" s="193">
        <f>+K3736*K3737/K3738</f>
        <v>304.2693657142857</v>
      </c>
      <c r="L3739" s="186" t="s">
        <v>108</v>
      </c>
      <c r="M3739" s="50"/>
      <c r="N3739" s="50"/>
      <c r="O3739" s="5"/>
      <c r="P3739" s="9"/>
      <c r="Q3739" s="34"/>
      <c r="R3739" s="5"/>
      <c r="S3739" s="35"/>
      <c r="X3739" s="396"/>
      <c r="Y3739" s="396"/>
      <c r="Z3739" s="396"/>
    </row>
    <row r="3740" spans="1:26" ht="30" customHeight="1" x14ac:dyDescent="0.35">
      <c r="A3740" s="186"/>
      <c r="B3740" s="186"/>
      <c r="C3740" s="503"/>
      <c r="D3740" s="503"/>
      <c r="E3740" s="503"/>
      <c r="F3740" s="503"/>
      <c r="G3740" s="1198" t="s">
        <v>257</v>
      </c>
      <c r="H3740" s="1198"/>
      <c r="I3740" s="1198"/>
      <c r="J3740" s="560">
        <f>VLOOKUP(B3732,'Mil Cost Premiums for PUCs'!$A$4:$R$285,18,FALSE)</f>
        <v>1.3319480854780448</v>
      </c>
      <c r="K3740" s="193">
        <f>+K3739*J3740</f>
        <v>405.27099913276186</v>
      </c>
      <c r="L3740" s="186" t="s">
        <v>108</v>
      </c>
      <c r="M3740" s="50"/>
      <c r="N3740" s="50"/>
      <c r="O3740" s="5"/>
      <c r="P3740" s="9"/>
      <c r="Q3740" s="34"/>
      <c r="R3740" s="5"/>
      <c r="S3740" s="35"/>
      <c r="X3740" s="396"/>
      <c r="Y3740" s="396"/>
      <c r="Z3740" s="396"/>
    </row>
    <row r="3741" spans="1:26" ht="30" customHeight="1" thickBot="1" x14ac:dyDescent="0.4">
      <c r="A3741" s="186"/>
      <c r="B3741" s="186"/>
      <c r="C3741" s="503"/>
      <c r="D3741" s="503"/>
      <c r="E3741" s="503"/>
      <c r="F3741" s="503"/>
      <c r="G3741" s="1309" t="s">
        <v>3000</v>
      </c>
      <c r="H3741" s="1310"/>
      <c r="I3741" s="1311"/>
      <c r="J3741" s="560">
        <v>1.0438745311870361</v>
      </c>
      <c r="K3741" s="193">
        <f>+K3740*J3741</f>
        <v>423.05207422341351</v>
      </c>
      <c r="L3741" s="186" t="s">
        <v>108</v>
      </c>
      <c r="M3741" s="50"/>
      <c r="N3741" s="50"/>
      <c r="O3741" s="5"/>
      <c r="P3741" s="9"/>
      <c r="Q3741" s="34"/>
      <c r="R3741" s="5"/>
      <c r="S3741" s="35"/>
      <c r="X3741" s="396"/>
      <c r="Y3741" s="396"/>
      <c r="Z3741" s="396"/>
    </row>
    <row r="3742" spans="1:26" s="396" customFormat="1" ht="30" customHeight="1" thickBot="1" x14ac:dyDescent="0.4">
      <c r="A3742" s="1199"/>
      <c r="B3742" s="1200"/>
      <c r="C3742" s="1200"/>
      <c r="D3742" s="1200"/>
      <c r="E3742" s="1200"/>
      <c r="F3742" s="1200"/>
      <c r="G3742" s="1200"/>
      <c r="H3742" s="1200"/>
      <c r="I3742" s="1200"/>
      <c r="J3742" s="1200"/>
      <c r="K3742" s="1200"/>
      <c r="L3742" s="1201"/>
      <c r="M3742" s="50"/>
      <c r="N3742" s="50"/>
      <c r="O3742" s="5"/>
      <c r="P3742" s="9"/>
      <c r="Q3742" s="34"/>
      <c r="R3742" s="5"/>
      <c r="S3742" s="35"/>
      <c r="T3742" s="9"/>
      <c r="U3742" s="9"/>
      <c r="V3742" s="9"/>
      <c r="W3742" s="9"/>
      <c r="X3742" s="9"/>
      <c r="Y3742" s="9"/>
    </row>
    <row r="3743" spans="1:26" s="396" customFormat="1" ht="30" customHeight="1" x14ac:dyDescent="0.35">
      <c r="A3743" s="388" t="s">
        <v>1</v>
      </c>
      <c r="B3743" s="389">
        <v>7602</v>
      </c>
      <c r="C3743" s="1345" t="s">
        <v>1590</v>
      </c>
      <c r="D3743" s="1346"/>
      <c r="E3743" s="392" t="s">
        <v>3</v>
      </c>
      <c r="F3743" s="525" t="s">
        <v>40</v>
      </c>
      <c r="G3743" s="390" t="s">
        <v>2</v>
      </c>
      <c r="H3743" s="1082">
        <v>1</v>
      </c>
      <c r="I3743" s="392" t="s">
        <v>5</v>
      </c>
      <c r="J3743" s="1304" t="s">
        <v>2805</v>
      </c>
      <c r="K3743" s="1305"/>
      <c r="L3743" s="1306"/>
      <c r="M3743" s="50"/>
      <c r="N3743" s="50"/>
      <c r="O3743" s="5"/>
      <c r="P3743" s="9"/>
      <c r="Q3743" s="34"/>
      <c r="R3743" s="5"/>
      <c r="S3743" s="35"/>
      <c r="T3743" s="9"/>
      <c r="U3743" s="9"/>
      <c r="V3743" s="9"/>
      <c r="W3743" s="9"/>
      <c r="X3743" s="9"/>
      <c r="Y3743" s="9"/>
      <c r="Z3743" s="9"/>
    </row>
    <row r="3744" spans="1:26" s="396" customFormat="1" ht="30" customHeight="1" x14ac:dyDescent="0.35">
      <c r="A3744" s="185"/>
      <c r="B3744" s="1272" t="s">
        <v>7</v>
      </c>
      <c r="C3744" s="1272"/>
      <c r="D3744" s="1272"/>
      <c r="E3744" s="185" t="s">
        <v>52</v>
      </c>
      <c r="F3744" s="185" t="s">
        <v>53</v>
      </c>
      <c r="G3744" s="1219" t="s">
        <v>54</v>
      </c>
      <c r="H3744" s="1220"/>
      <c r="I3744" s="185" t="s">
        <v>55</v>
      </c>
      <c r="J3744" s="185" t="s">
        <v>56</v>
      </c>
      <c r="K3744" s="1209" t="s">
        <v>37</v>
      </c>
      <c r="L3744" s="1210"/>
      <c r="M3744" s="96"/>
      <c r="N3744" s="50"/>
      <c r="O3744" s="5"/>
      <c r="P3744" s="9"/>
      <c r="Q3744" s="34"/>
      <c r="R3744" s="5"/>
      <c r="S3744" s="35"/>
      <c r="T3744" s="9"/>
      <c r="U3744" s="9"/>
      <c r="V3744" s="9"/>
      <c r="W3744" s="9"/>
      <c r="X3744" s="9"/>
      <c r="Y3744" s="9"/>
      <c r="Z3744" s="9"/>
    </row>
    <row r="3745" spans="1:26" s="396" customFormat="1" ht="30" customHeight="1" x14ac:dyDescent="0.35">
      <c r="A3745" s="407"/>
      <c r="B3745" s="1319" t="s">
        <v>2807</v>
      </c>
      <c r="C3745" s="1319"/>
      <c r="D3745" s="1319"/>
      <c r="E3745" s="469">
        <f>+(4000+30000)/2</f>
        <v>17000</v>
      </c>
      <c r="F3745" s="188" t="s">
        <v>40</v>
      </c>
      <c r="G3745" s="1332"/>
      <c r="H3745" s="1333"/>
      <c r="I3745" s="939">
        <v>1.1000000000000001</v>
      </c>
      <c r="J3745" s="906">
        <f>+'FY2024 MILCON Inflation Table'!F19</f>
        <v>1.0438745311870332</v>
      </c>
      <c r="K3745" s="471">
        <f>+E3745*I3745*J3745</f>
        <v>19520.453733197523</v>
      </c>
      <c r="L3745" s="188" t="s">
        <v>40</v>
      </c>
      <c r="M3745" s="50"/>
      <c r="N3745" s="50"/>
      <c r="O3745" s="5"/>
      <c r="P3745" s="9"/>
      <c r="Q3745" s="34"/>
      <c r="R3745" s="5"/>
      <c r="S3745" s="35"/>
      <c r="T3745" s="9"/>
      <c r="U3745" s="9"/>
      <c r="V3745" s="9"/>
      <c r="W3745" s="9"/>
      <c r="X3745" s="9"/>
      <c r="Y3745" s="9"/>
      <c r="Z3745" s="9"/>
    </row>
    <row r="3746" spans="1:26" ht="30" customHeight="1" thickBot="1" x14ac:dyDescent="0.4">
      <c r="A3746" s="472"/>
      <c r="B3746" s="1319" t="s">
        <v>2806</v>
      </c>
      <c r="C3746" s="1319"/>
      <c r="D3746" s="1319"/>
      <c r="E3746" s="993"/>
      <c r="F3746" s="16"/>
      <c r="G3746" s="1366" t="s">
        <v>257</v>
      </c>
      <c r="H3746" s="1367"/>
      <c r="I3746" s="1368"/>
      <c r="J3746" s="560">
        <f>VLOOKUP(B3743,'Mil Cost Premiums for PUCs'!$A$4:$R$285,18,FALSE)</f>
        <v>1.1199953840399997</v>
      </c>
      <c r="K3746" s="193">
        <f>+K3745*J3746</f>
        <v>21862.818075547602</v>
      </c>
      <c r="L3746" s="188" t="s">
        <v>40</v>
      </c>
      <c r="M3746" s="50"/>
      <c r="N3746" s="50"/>
      <c r="O3746" s="5"/>
      <c r="Q3746" s="34"/>
      <c r="R3746" s="5"/>
      <c r="S3746" s="35"/>
      <c r="U3746" s="53"/>
    </row>
    <row r="3747" spans="1:26" ht="30" customHeight="1" thickBot="1" x14ac:dyDescent="0.4">
      <c r="A3747" s="1199"/>
      <c r="B3747" s="1200"/>
      <c r="C3747" s="1200"/>
      <c r="D3747" s="1200"/>
      <c r="E3747" s="1200"/>
      <c r="F3747" s="1200"/>
      <c r="G3747" s="1200"/>
      <c r="H3747" s="1200"/>
      <c r="I3747" s="1200"/>
      <c r="J3747" s="1200"/>
      <c r="K3747" s="1200"/>
      <c r="L3747" s="1201"/>
      <c r="M3747" s="50"/>
      <c r="N3747" s="50"/>
      <c r="O3747" s="5"/>
      <c r="Q3747" s="34"/>
      <c r="R3747" s="5"/>
      <c r="S3747" s="35"/>
      <c r="U3747" s="53"/>
    </row>
    <row r="3748" spans="1:26" ht="30" customHeight="1" x14ac:dyDescent="0.35">
      <c r="A3748" s="388" t="s">
        <v>1</v>
      </c>
      <c r="B3748" s="389">
        <v>7603</v>
      </c>
      <c r="C3748" s="1345" t="s">
        <v>1591</v>
      </c>
      <c r="D3748" s="1346"/>
      <c r="E3748" s="392" t="s">
        <v>3</v>
      </c>
      <c r="F3748" s="525" t="s">
        <v>40</v>
      </c>
      <c r="G3748" s="390" t="s">
        <v>2</v>
      </c>
      <c r="H3748" s="1082">
        <v>1</v>
      </c>
      <c r="I3748" s="392" t="s">
        <v>5</v>
      </c>
      <c r="J3748" s="1304" t="s">
        <v>488</v>
      </c>
      <c r="K3748" s="1305"/>
      <c r="L3748" s="1306"/>
      <c r="M3748" s="97"/>
      <c r="N3748" s="50"/>
      <c r="O3748" s="5"/>
      <c r="T3748" s="10"/>
      <c r="U3748" s="53"/>
    </row>
    <row r="3749" spans="1:26" ht="30" customHeight="1" x14ac:dyDescent="0.35">
      <c r="A3749" s="185"/>
      <c r="B3749" s="1272" t="s">
        <v>7</v>
      </c>
      <c r="C3749" s="1272"/>
      <c r="D3749" s="1272"/>
      <c r="E3749" s="185" t="s">
        <v>52</v>
      </c>
      <c r="F3749" s="185" t="s">
        <v>53</v>
      </c>
      <c r="G3749" s="1219" t="s">
        <v>54</v>
      </c>
      <c r="H3749" s="1220"/>
      <c r="I3749" s="185" t="s">
        <v>55</v>
      </c>
      <c r="J3749" s="185" t="s">
        <v>56</v>
      </c>
      <c r="K3749" s="1209" t="s">
        <v>37</v>
      </c>
      <c r="L3749" s="1210"/>
      <c r="M3749" s="50"/>
      <c r="N3749" s="50"/>
      <c r="O3749" s="5"/>
      <c r="T3749" s="53"/>
      <c r="U3749" s="10"/>
    </row>
    <row r="3750" spans="1:26" ht="30" customHeight="1" thickBot="1" x14ac:dyDescent="0.4">
      <c r="A3750" s="407"/>
      <c r="B3750" s="1500" t="s">
        <v>491</v>
      </c>
      <c r="C3750" s="1500"/>
      <c r="D3750" s="1500"/>
      <c r="E3750" s="469"/>
      <c r="F3750" s="188"/>
      <c r="G3750" s="1332"/>
      <c r="H3750" s="1333"/>
      <c r="I3750" s="188"/>
      <c r="J3750" s="470"/>
      <c r="K3750" s="471" t="s">
        <v>491</v>
      </c>
      <c r="L3750" s="188" t="s">
        <v>40</v>
      </c>
      <c r="M3750" s="50"/>
      <c r="N3750" s="50"/>
      <c r="O3750" s="5"/>
      <c r="T3750" s="53"/>
      <c r="U3750" s="10"/>
    </row>
    <row r="3751" spans="1:26" ht="30" customHeight="1" thickBot="1" x14ac:dyDescent="0.4">
      <c r="A3751" s="1199"/>
      <c r="B3751" s="1200"/>
      <c r="C3751" s="1200"/>
      <c r="D3751" s="1200"/>
      <c r="E3751" s="1200"/>
      <c r="F3751" s="1200"/>
      <c r="G3751" s="1200"/>
      <c r="H3751" s="1200"/>
      <c r="I3751" s="1200"/>
      <c r="J3751" s="1200"/>
      <c r="K3751" s="1200"/>
      <c r="L3751" s="1201"/>
      <c r="M3751" s="50"/>
      <c r="N3751" s="50"/>
      <c r="O3751" s="5"/>
      <c r="T3751" s="53"/>
      <c r="U3751" s="10"/>
    </row>
    <row r="3752" spans="1:26" ht="30" customHeight="1" x14ac:dyDescent="0.35">
      <c r="A3752" s="388" t="s">
        <v>1</v>
      </c>
      <c r="B3752" s="389">
        <v>7604</v>
      </c>
      <c r="C3752" s="1205" t="s">
        <v>1592</v>
      </c>
      <c r="D3752" s="1206"/>
      <c r="E3752" s="392" t="s">
        <v>3</v>
      </c>
      <c r="F3752" s="393" t="s">
        <v>349</v>
      </c>
      <c r="G3752" s="390" t="s">
        <v>38</v>
      </c>
      <c r="H3752" s="132">
        <v>4660</v>
      </c>
      <c r="I3752" s="392" t="s">
        <v>5</v>
      </c>
      <c r="J3752" s="1207" t="s">
        <v>2874</v>
      </c>
      <c r="K3752" s="1207"/>
      <c r="L3752" s="1208"/>
      <c r="M3752" s="50"/>
      <c r="N3752" s="50"/>
      <c r="O3752" s="5"/>
      <c r="T3752" s="10"/>
      <c r="U3752" s="10"/>
    </row>
    <row r="3753" spans="1:26" ht="30" customHeight="1" x14ac:dyDescent="0.35">
      <c r="A3753" s="494" t="s">
        <v>187</v>
      </c>
      <c r="B3753" s="1272" t="s">
        <v>7</v>
      </c>
      <c r="C3753" s="1272"/>
      <c r="D3753" s="1272"/>
      <c r="E3753" s="566" t="s">
        <v>52</v>
      </c>
      <c r="F3753" s="566" t="s">
        <v>53</v>
      </c>
      <c r="G3753" s="1219" t="s">
        <v>54</v>
      </c>
      <c r="H3753" s="1220"/>
      <c r="I3753" s="185" t="s">
        <v>188</v>
      </c>
      <c r="J3753" s="185"/>
      <c r="K3753" s="399" t="s">
        <v>180</v>
      </c>
      <c r="L3753" s="400"/>
      <c r="M3753" s="50"/>
      <c r="N3753" s="50"/>
      <c r="O3753"/>
      <c r="P3753"/>
      <c r="Q3753"/>
      <c r="R3753"/>
      <c r="S3753"/>
      <c r="T3753"/>
      <c r="U3753"/>
      <c r="V3753"/>
      <c r="W3753"/>
    </row>
    <row r="3754" spans="1:26" ht="30" customHeight="1" x14ac:dyDescent="0.35">
      <c r="A3754" s="985" t="s">
        <v>1189</v>
      </c>
      <c r="B3754" s="1202" t="s">
        <v>1593</v>
      </c>
      <c r="C3754" s="1203"/>
      <c r="D3754" s="1204"/>
      <c r="E3754" s="7">
        <v>229</v>
      </c>
      <c r="F3754" s="422" t="s">
        <v>1594</v>
      </c>
      <c r="G3754" s="707">
        <v>1.54</v>
      </c>
      <c r="H3754" s="667" t="s">
        <v>1595</v>
      </c>
      <c r="I3754" s="204">
        <v>0.99</v>
      </c>
      <c r="J3754" s="186"/>
      <c r="K3754" s="733">
        <f>+E3754*I3754/G3754</f>
        <v>147.21428571428572</v>
      </c>
      <c r="L3754" s="422" t="s">
        <v>349</v>
      </c>
      <c r="M3754" s="50"/>
      <c r="N3754" s="50"/>
      <c r="O3754"/>
      <c r="P3754"/>
      <c r="Q3754"/>
      <c r="R3754"/>
      <c r="S3754"/>
      <c r="T3754"/>
      <c r="U3754"/>
      <c r="V3754"/>
      <c r="W3754"/>
    </row>
    <row r="3755" spans="1:26" ht="30" customHeight="1" x14ac:dyDescent="0.35">
      <c r="A3755" s="186"/>
      <c r="B3755" s="567"/>
      <c r="C3755" s="567"/>
      <c r="D3755" s="567"/>
      <c r="E3755" s="194"/>
      <c r="F3755" s="1215" t="s">
        <v>195</v>
      </c>
      <c r="G3755" s="1273" t="s">
        <v>196</v>
      </c>
      <c r="H3755" s="1273"/>
      <c r="I3755" s="1273"/>
      <c r="J3755" s="1273"/>
      <c r="K3755" s="197">
        <v>1.05</v>
      </c>
      <c r="L3755" s="186"/>
      <c r="M3755" s="50"/>
      <c r="N3755" s="50"/>
      <c r="O3755"/>
      <c r="P3755"/>
      <c r="Q3755" s="1098"/>
      <c r="R3755"/>
      <c r="S3755"/>
      <c r="T3755"/>
      <c r="U3755"/>
      <c r="V3755"/>
      <c r="W3755"/>
    </row>
    <row r="3756" spans="1:26" ht="30" customHeight="1" x14ac:dyDescent="0.35">
      <c r="A3756" s="755"/>
      <c r="B3756" s="900"/>
      <c r="C3756" s="900"/>
      <c r="D3756" s="900"/>
      <c r="E3756" s="147"/>
      <c r="F3756" s="1609"/>
      <c r="G3756" s="1268" t="s">
        <v>2875</v>
      </c>
      <c r="H3756" s="1268"/>
      <c r="I3756" s="1268"/>
      <c r="J3756" s="1268"/>
      <c r="K3756" s="1083">
        <v>1.07</v>
      </c>
      <c r="L3756" s="755"/>
      <c r="M3756" s="97"/>
      <c r="N3756" s="50"/>
      <c r="O3756"/>
      <c r="P3756"/>
      <c r="Q3756"/>
      <c r="R3756"/>
      <c r="S3756"/>
      <c r="T3756"/>
      <c r="U3756"/>
      <c r="V3756"/>
      <c r="W3756"/>
    </row>
    <row r="3757" spans="1:26" ht="30" customHeight="1" x14ac:dyDescent="0.35">
      <c r="A3757" s="1084"/>
      <c r="B3757" s="1612"/>
      <c r="C3757" s="1612"/>
      <c r="D3757" s="1612"/>
      <c r="E3757" s="180"/>
      <c r="F3757" s="897"/>
      <c r="G3757" s="897"/>
      <c r="H3757" s="897"/>
      <c r="I3757" s="897"/>
      <c r="J3757" s="897" t="s">
        <v>37</v>
      </c>
      <c r="K3757" s="181">
        <f>+K3754*K3755/K3756</f>
        <v>144.46261682242991</v>
      </c>
      <c r="L3757" s="897" t="s">
        <v>349</v>
      </c>
      <c r="M3757" s="50"/>
      <c r="N3757" s="50"/>
      <c r="O3757"/>
      <c r="P3757"/>
      <c r="Q3757"/>
      <c r="R3757"/>
      <c r="S3757"/>
      <c r="T3757"/>
      <c r="U3757"/>
      <c r="V3757"/>
      <c r="W3757"/>
    </row>
    <row r="3758" spans="1:26" ht="30" customHeight="1" thickBot="1" x14ac:dyDescent="0.4">
      <c r="A3758" s="897"/>
      <c r="B3758" s="1425" t="s">
        <v>1596</v>
      </c>
      <c r="C3758" s="1425"/>
      <c r="D3758" s="1425"/>
      <c r="E3758" s="901"/>
      <c r="F3758" s="901"/>
      <c r="G3758" s="1194" t="s">
        <v>257</v>
      </c>
      <c r="H3758" s="1195"/>
      <c r="I3758" s="1196"/>
      <c r="J3758" s="1085">
        <f>VLOOKUP(B3752,'Mil Cost Premiums for PUCs'!$A$4:$R$285,18,FALSE)</f>
        <v>1.1199953840399997</v>
      </c>
      <c r="K3758" s="181">
        <f>+K3757*J3758</f>
        <v>161.79746400746069</v>
      </c>
      <c r="L3758" s="897" t="s">
        <v>349</v>
      </c>
      <c r="M3758" s="50"/>
      <c r="N3758" s="50"/>
      <c r="O3758"/>
      <c r="P3758"/>
      <c r="Q3758"/>
      <c r="R3758"/>
      <c r="S3758"/>
      <c r="T3758"/>
      <c r="U3758"/>
      <c r="V3758"/>
      <c r="W3758"/>
    </row>
    <row r="3759" spans="1:26" ht="30" customHeight="1" thickBot="1" x14ac:dyDescent="0.4">
      <c r="A3759" s="1429"/>
      <c r="B3759" s="1430"/>
      <c r="C3759" s="1430"/>
      <c r="D3759" s="1430"/>
      <c r="E3759" s="1430"/>
      <c r="F3759" s="1430"/>
      <c r="G3759" s="1430"/>
      <c r="H3759" s="1430"/>
      <c r="I3759" s="1430"/>
      <c r="J3759" s="1430"/>
      <c r="K3759" s="1430"/>
      <c r="L3759" s="1431"/>
      <c r="N3759" s="50"/>
      <c r="O3759"/>
      <c r="P3759"/>
      <c r="Q3759"/>
      <c r="R3759"/>
      <c r="S3759"/>
      <c r="T3759"/>
      <c r="U3759"/>
      <c r="V3759"/>
      <c r="W3759"/>
    </row>
    <row r="3760" spans="1:26" ht="30" customHeight="1" x14ac:dyDescent="0.35">
      <c r="A3760" s="455" t="s">
        <v>1</v>
      </c>
      <c r="B3760" s="439">
        <v>7605</v>
      </c>
      <c r="C3760" s="1384" t="s">
        <v>1597</v>
      </c>
      <c r="D3760" s="1385"/>
      <c r="E3760" s="456" t="s">
        <v>3</v>
      </c>
      <c r="F3760" s="457" t="s">
        <v>40</v>
      </c>
      <c r="G3760" s="771"/>
      <c r="H3760" s="182"/>
      <c r="I3760" s="456" t="s">
        <v>5</v>
      </c>
      <c r="J3760" s="1411" t="s">
        <v>1598</v>
      </c>
      <c r="K3760" s="1411"/>
      <c r="L3760" s="1412"/>
      <c r="M3760" s="96"/>
      <c r="N3760" s="50"/>
      <c r="O3760" s="5"/>
      <c r="T3760" s="10"/>
      <c r="U3760" s="10"/>
    </row>
    <row r="3761" spans="1:23" ht="30" customHeight="1" x14ac:dyDescent="0.35">
      <c r="A3761" s="185"/>
      <c r="B3761" s="1272" t="s">
        <v>7</v>
      </c>
      <c r="C3761" s="1272"/>
      <c r="D3761" s="1272"/>
      <c r="E3761" s="185" t="s">
        <v>382</v>
      </c>
      <c r="F3761" s="185" t="s">
        <v>53</v>
      </c>
      <c r="G3761" s="1219" t="s">
        <v>54</v>
      </c>
      <c r="H3761" s="1220"/>
      <c r="I3761" s="124" t="s">
        <v>55</v>
      </c>
      <c r="J3761" s="185" t="s">
        <v>56</v>
      </c>
      <c r="K3761" s="399" t="s">
        <v>180</v>
      </c>
      <c r="L3761" s="400"/>
      <c r="M3761" s="96"/>
      <c r="N3761" s="50"/>
      <c r="O3761" s="5"/>
      <c r="T3761" s="10"/>
      <c r="U3761" s="10"/>
    </row>
    <row r="3762" spans="1:23" ht="30" customHeight="1" x14ac:dyDescent="0.35">
      <c r="A3762" s="407"/>
      <c r="B3762" s="1264" t="s">
        <v>1599</v>
      </c>
      <c r="C3762" s="1264"/>
      <c r="D3762" s="1264"/>
      <c r="E3762" s="469">
        <v>6390138</v>
      </c>
      <c r="F3762" s="188" t="s">
        <v>31</v>
      </c>
      <c r="G3762" s="186">
        <v>184</v>
      </c>
      <c r="H3762" s="558" t="s">
        <v>1600</v>
      </c>
      <c r="I3762" s="1088">
        <v>1.05</v>
      </c>
      <c r="J3762" s="770">
        <f>+'FY2024 MILCON Inflation Table'!F4</f>
        <v>1.7282</v>
      </c>
      <c r="K3762" s="469">
        <f>+E3762/G3762/I3762*J3762</f>
        <v>57160.644366459623</v>
      </c>
      <c r="L3762" s="188" t="s">
        <v>40</v>
      </c>
      <c r="M3762" s="50"/>
      <c r="N3762" s="50"/>
      <c r="O3762" s="5"/>
      <c r="T3762" s="10"/>
      <c r="U3762" s="10"/>
    </row>
    <row r="3763" spans="1:23" ht="30" customHeight="1" x14ac:dyDescent="0.35">
      <c r="A3763" s="1392" t="s">
        <v>2855</v>
      </c>
      <c r="B3763" s="1393"/>
      <c r="C3763" s="1393"/>
      <c r="D3763" s="1322"/>
      <c r="E3763" s="1089"/>
      <c r="F3763" s="188"/>
      <c r="G3763" s="186"/>
      <c r="H3763" s="799"/>
      <c r="I3763" s="1467" t="s">
        <v>1601</v>
      </c>
      <c r="J3763" s="1469"/>
      <c r="K3763" s="469">
        <f>+K3762</f>
        <v>57160.644366459623</v>
      </c>
      <c r="L3763" s="186" t="s">
        <v>40</v>
      </c>
      <c r="M3763" s="50"/>
      <c r="N3763" s="50"/>
      <c r="T3763" s="10"/>
      <c r="U3763" s="10"/>
    </row>
    <row r="3764" spans="1:23" ht="30" customHeight="1" thickBot="1" x14ac:dyDescent="0.4">
      <c r="A3764" s="1573"/>
      <c r="B3764" s="1574"/>
      <c r="C3764" s="1574"/>
      <c r="D3764" s="1575"/>
      <c r="E3764" s="1356" t="s">
        <v>1602</v>
      </c>
      <c r="F3764" s="1357"/>
      <c r="G3764" s="1357"/>
      <c r="H3764" s="1358"/>
      <c r="I3764" s="503"/>
      <c r="J3764" s="494" t="s">
        <v>37</v>
      </c>
      <c r="K3764" s="354">
        <f>+K3763</f>
        <v>57160.644366459623</v>
      </c>
      <c r="L3764" s="186" t="s">
        <v>40</v>
      </c>
      <c r="M3764" s="50"/>
      <c r="N3764" s="50"/>
      <c r="P3764" s="384"/>
      <c r="T3764" s="10"/>
      <c r="U3764" s="396"/>
    </row>
    <row r="3765" spans="1:23" ht="30" customHeight="1" thickBot="1" x14ac:dyDescent="0.4">
      <c r="A3765" s="1199"/>
      <c r="B3765" s="1200"/>
      <c r="C3765" s="1200"/>
      <c r="D3765" s="1200"/>
      <c r="E3765" s="1200"/>
      <c r="F3765" s="1200"/>
      <c r="G3765" s="1200"/>
      <c r="H3765" s="1200"/>
      <c r="I3765" s="1200"/>
      <c r="J3765" s="1200"/>
      <c r="K3765" s="1200"/>
      <c r="L3765" s="1201"/>
      <c r="M3765" s="50"/>
      <c r="N3765" s="50"/>
      <c r="P3765" s="384"/>
      <c r="T3765" s="10"/>
      <c r="U3765" s="396"/>
    </row>
    <row r="3766" spans="1:23" ht="30" customHeight="1" x14ac:dyDescent="0.35">
      <c r="A3766" s="388" t="s">
        <v>1</v>
      </c>
      <c r="B3766" s="389">
        <v>8111</v>
      </c>
      <c r="C3766" s="1205" t="s">
        <v>2532</v>
      </c>
      <c r="D3766" s="1206"/>
      <c r="E3766" s="392" t="s">
        <v>3</v>
      </c>
      <c r="F3766" s="393" t="s">
        <v>1603</v>
      </c>
      <c r="G3766" s="390" t="s">
        <v>38</v>
      </c>
      <c r="H3766" s="135">
        <v>307.827460445778</v>
      </c>
      <c r="I3766" s="392" t="s">
        <v>5</v>
      </c>
      <c r="J3766" s="1207" t="s">
        <v>2538</v>
      </c>
      <c r="K3766" s="1207"/>
      <c r="L3766" s="1208"/>
      <c r="M3766" s="96"/>
      <c r="N3766" s="50"/>
      <c r="P3766" s="384"/>
      <c r="T3766" s="10"/>
      <c r="U3766" s="396"/>
    </row>
    <row r="3767" spans="1:23" ht="30" customHeight="1" x14ac:dyDescent="0.35">
      <c r="A3767" s="185" t="s">
        <v>177</v>
      </c>
      <c r="B3767" s="1248" t="s">
        <v>7</v>
      </c>
      <c r="C3767" s="1248"/>
      <c r="D3767" s="1248"/>
      <c r="E3767" s="446" t="s">
        <v>1605</v>
      </c>
      <c r="F3767" s="446" t="s">
        <v>1606</v>
      </c>
      <c r="G3767" s="1399" t="s">
        <v>54</v>
      </c>
      <c r="H3767" s="1399"/>
      <c r="I3767" s="1399" t="s">
        <v>179</v>
      </c>
      <c r="J3767" s="1399"/>
      <c r="K3767" s="448" t="s">
        <v>180</v>
      </c>
      <c r="L3767" s="604"/>
      <c r="M3767" s="96"/>
      <c r="N3767" s="50"/>
      <c r="P3767" s="384"/>
      <c r="T3767" s="10"/>
      <c r="U3767" s="396"/>
      <c r="V3767" s="396"/>
      <c r="W3767" s="396"/>
    </row>
    <row r="3768" spans="1:23" ht="30" customHeight="1" x14ac:dyDescent="0.35">
      <c r="A3768" s="186">
        <v>81160</v>
      </c>
      <c r="B3768" s="1558" t="s">
        <v>1612</v>
      </c>
      <c r="C3768" s="1610"/>
      <c r="D3768" s="1610"/>
      <c r="E3768" s="355">
        <v>1072708.1299999999</v>
      </c>
      <c r="F3768" s="301">
        <v>1000</v>
      </c>
      <c r="G3768" s="271">
        <v>1000</v>
      </c>
      <c r="H3768" s="271" t="s">
        <v>1607</v>
      </c>
      <c r="I3768" s="1611">
        <f>+'FY2024 MILCON Inflation Table'!F22</f>
        <v>0.95834826759383673</v>
      </c>
      <c r="J3768" s="1611"/>
      <c r="K3768" s="307">
        <f>+E3768/G3768*I3768</f>
        <v>1028.0279780193241</v>
      </c>
      <c r="L3768" s="765" t="s">
        <v>1603</v>
      </c>
      <c r="M3768" s="50"/>
      <c r="N3768" s="50"/>
      <c r="Q3768" s="396"/>
      <c r="R3768" s="396"/>
      <c r="S3768" s="396"/>
      <c r="T3768" s="396"/>
      <c r="V3768" s="396"/>
      <c r="W3768" s="396"/>
    </row>
    <row r="3769" spans="1:23" ht="30" customHeight="1" x14ac:dyDescent="0.35">
      <c r="A3769" s="186"/>
      <c r="B3769" s="373"/>
      <c r="C3769" s="374"/>
      <c r="D3769" s="375"/>
      <c r="E3769" s="151"/>
      <c r="F3769" s="143"/>
      <c r="G3769" s="716"/>
      <c r="H3769" s="136"/>
      <c r="I3769" s="915"/>
      <c r="J3769" s="714" t="s">
        <v>192</v>
      </c>
      <c r="K3769" s="199">
        <f>AVERAGE(K3768:K3768)</f>
        <v>1028.0279780193241</v>
      </c>
      <c r="L3769" s="186" t="s">
        <v>1603</v>
      </c>
      <c r="M3769" s="50"/>
      <c r="N3769" s="50"/>
      <c r="Q3769" s="396"/>
      <c r="R3769" s="396"/>
      <c r="S3769" s="396"/>
      <c r="T3769" s="396"/>
      <c r="V3769" s="396"/>
      <c r="W3769" s="396"/>
    </row>
    <row r="3770" spans="1:23" ht="30" customHeight="1" thickBot="1" x14ac:dyDescent="0.4">
      <c r="A3770" s="186"/>
      <c r="B3770" s="1202"/>
      <c r="C3770" s="1203"/>
      <c r="D3770" s="1204"/>
      <c r="E3770" s="520"/>
      <c r="F3770" s="784"/>
      <c r="G3770" s="520"/>
      <c r="H3770" s="520"/>
      <c r="I3770" s="503"/>
      <c r="J3770" s="494" t="s">
        <v>37</v>
      </c>
      <c r="K3770" s="199">
        <f>AVERAGE(K3768:K3769)</f>
        <v>1028.0279780193241</v>
      </c>
      <c r="L3770" s="186" t="s">
        <v>1603</v>
      </c>
      <c r="M3770" s="50"/>
      <c r="N3770" s="50"/>
      <c r="Q3770" s="396"/>
      <c r="R3770" s="396"/>
      <c r="S3770" s="396"/>
      <c r="T3770" s="396"/>
      <c r="V3770" s="396"/>
      <c r="W3770" s="396"/>
    </row>
    <row r="3771" spans="1:23" ht="30" customHeight="1" thickBot="1" x14ac:dyDescent="0.4">
      <c r="A3771" s="1199"/>
      <c r="B3771" s="1200"/>
      <c r="C3771" s="1200"/>
      <c r="D3771" s="1200"/>
      <c r="E3771" s="1200"/>
      <c r="F3771" s="1200"/>
      <c r="G3771" s="1200"/>
      <c r="H3771" s="1200"/>
      <c r="I3771" s="1200"/>
      <c r="J3771" s="1200"/>
      <c r="K3771" s="1200"/>
      <c r="L3771" s="1201"/>
      <c r="M3771" s="50"/>
      <c r="N3771" s="50"/>
      <c r="P3771" s="384"/>
      <c r="Q3771" s="396"/>
      <c r="R3771" s="396"/>
      <c r="S3771" s="396"/>
      <c r="T3771" s="396"/>
      <c r="V3771" s="396"/>
      <c r="W3771" s="396"/>
    </row>
    <row r="3772" spans="1:23" ht="30" customHeight="1" x14ac:dyDescent="0.35">
      <c r="A3772" s="388" t="s">
        <v>1</v>
      </c>
      <c r="B3772" s="389">
        <v>8112</v>
      </c>
      <c r="C3772" s="1290" t="s">
        <v>1604</v>
      </c>
      <c r="D3772" s="1291"/>
      <c r="E3772" s="392" t="s">
        <v>3</v>
      </c>
      <c r="F3772" s="393" t="s">
        <v>1603</v>
      </c>
      <c r="G3772" s="390" t="s">
        <v>38</v>
      </c>
      <c r="H3772" s="135">
        <v>307.827460445778</v>
      </c>
      <c r="I3772" s="392" t="s">
        <v>5</v>
      </c>
      <c r="J3772" s="1207" t="s">
        <v>2538</v>
      </c>
      <c r="K3772" s="1207"/>
      <c r="L3772" s="1208"/>
      <c r="M3772" s="96"/>
      <c r="N3772" s="50"/>
      <c r="U3772" s="10"/>
    </row>
    <row r="3773" spans="1:23" ht="30" customHeight="1" x14ac:dyDescent="0.35">
      <c r="A3773" s="185" t="s">
        <v>177</v>
      </c>
      <c r="B3773" s="1272" t="s">
        <v>7</v>
      </c>
      <c r="C3773" s="1272"/>
      <c r="D3773" s="1272"/>
      <c r="E3773" s="397" t="s">
        <v>1605</v>
      </c>
      <c r="F3773" s="185" t="s">
        <v>1606</v>
      </c>
      <c r="G3773" s="1292" t="s">
        <v>54</v>
      </c>
      <c r="H3773" s="1293"/>
      <c r="I3773" s="1221" t="s">
        <v>179</v>
      </c>
      <c r="J3773" s="1222"/>
      <c r="K3773" s="399" t="s">
        <v>180</v>
      </c>
      <c r="L3773" s="400"/>
      <c r="M3773" s="96"/>
      <c r="N3773" s="50"/>
      <c r="O3773" s="16"/>
      <c r="U3773" s="10"/>
    </row>
    <row r="3774" spans="1:23" ht="30" customHeight="1" x14ac:dyDescent="0.35">
      <c r="A3774" s="186">
        <v>81160</v>
      </c>
      <c r="B3774" s="1264" t="s">
        <v>1608</v>
      </c>
      <c r="C3774" s="1211"/>
      <c r="D3774" s="1211"/>
      <c r="E3774" s="7">
        <v>225253.88</v>
      </c>
      <c r="F3774" s="203">
        <v>125</v>
      </c>
      <c r="G3774" s="127">
        <v>125</v>
      </c>
      <c r="H3774" s="136" t="s">
        <v>1607</v>
      </c>
      <c r="I3774" s="1307">
        <f>+'FY2024 MILCON Inflation Table'!F22</f>
        <v>0.95834826759383673</v>
      </c>
      <c r="J3774" s="1308"/>
      <c r="K3774" s="199">
        <f>+E3774/F3774*I3774</f>
        <v>1726.97332533432</v>
      </c>
      <c r="L3774" s="186" t="s">
        <v>1603</v>
      </c>
      <c r="M3774" s="50"/>
      <c r="N3774" s="50"/>
      <c r="O3774" s="16"/>
      <c r="U3774" s="10"/>
    </row>
    <row r="3775" spans="1:23" ht="30" customHeight="1" x14ac:dyDescent="0.35">
      <c r="A3775" s="186">
        <v>81160</v>
      </c>
      <c r="B3775" s="1264" t="s">
        <v>1609</v>
      </c>
      <c r="C3775" s="1211"/>
      <c r="D3775" s="1211"/>
      <c r="E3775" s="7">
        <v>306416.69</v>
      </c>
      <c r="F3775" s="203">
        <v>200</v>
      </c>
      <c r="G3775" s="127">
        <v>200</v>
      </c>
      <c r="H3775" s="136" t="s">
        <v>1607</v>
      </c>
      <c r="I3775" s="1307">
        <f>+I3774</f>
        <v>0.95834826759383673</v>
      </c>
      <c r="J3775" s="1308"/>
      <c r="K3775" s="199">
        <f>+E3775/F3775*I3775</f>
        <v>1468.2695201166887</v>
      </c>
      <c r="L3775" s="186" t="s">
        <v>1603</v>
      </c>
      <c r="M3775" s="96"/>
      <c r="N3775" s="50"/>
      <c r="P3775" s="9"/>
    </row>
    <row r="3776" spans="1:23" ht="30" customHeight="1" x14ac:dyDescent="0.35">
      <c r="A3776" s="186">
        <v>81160</v>
      </c>
      <c r="B3776" s="1264" t="s">
        <v>1610</v>
      </c>
      <c r="C3776" s="1211"/>
      <c r="D3776" s="1211"/>
      <c r="E3776" s="7">
        <v>328165.44</v>
      </c>
      <c r="F3776" s="203">
        <v>300</v>
      </c>
      <c r="G3776" s="127">
        <v>300</v>
      </c>
      <c r="H3776" s="136" t="s">
        <v>1607</v>
      </c>
      <c r="I3776" s="1307">
        <f>+I3774</f>
        <v>0.95834826759383673</v>
      </c>
      <c r="J3776" s="1308"/>
      <c r="K3776" s="199">
        <f>+E3776/F3776*I3776</f>
        <v>1048.3226030272306</v>
      </c>
      <c r="L3776" s="186" t="s">
        <v>1603</v>
      </c>
      <c r="M3776" s="50"/>
      <c r="N3776" s="50"/>
      <c r="T3776" s="10"/>
    </row>
    <row r="3777" spans="1:26" ht="30" customHeight="1" x14ac:dyDescent="0.35">
      <c r="A3777" s="186">
        <v>81160</v>
      </c>
      <c r="B3777" s="1264" t="s">
        <v>1611</v>
      </c>
      <c r="C3777" s="1211"/>
      <c r="D3777" s="1211"/>
      <c r="E3777" s="7">
        <v>443848.86</v>
      </c>
      <c r="F3777" s="203">
        <v>400</v>
      </c>
      <c r="G3777" s="127">
        <v>400</v>
      </c>
      <c r="H3777" s="136" t="s">
        <v>1607</v>
      </c>
      <c r="I3777" s="1307">
        <f>+I3774</f>
        <v>0.95834826759383673</v>
      </c>
      <c r="J3777" s="1308"/>
      <c r="K3777" s="199">
        <f>+E3777/F3777*I3777</f>
        <v>1063.4044651362483</v>
      </c>
      <c r="L3777" s="186" t="s">
        <v>1603</v>
      </c>
      <c r="M3777" s="50"/>
      <c r="N3777" s="50"/>
      <c r="O3777" s="539"/>
      <c r="P3777" s="9"/>
      <c r="Q3777" s="34"/>
      <c r="R3777" s="5"/>
      <c r="S3777" s="35"/>
    </row>
    <row r="3778" spans="1:26" ht="30" customHeight="1" x14ac:dyDescent="0.35">
      <c r="A3778" s="186">
        <v>81160</v>
      </c>
      <c r="B3778" s="1264" t="s">
        <v>1612</v>
      </c>
      <c r="C3778" s="1211"/>
      <c r="D3778" s="1211"/>
      <c r="E3778" s="7">
        <v>582236.15</v>
      </c>
      <c r="F3778" s="203">
        <v>500</v>
      </c>
      <c r="G3778" s="127">
        <v>500</v>
      </c>
      <c r="H3778" s="136" t="s">
        <v>1607</v>
      </c>
      <c r="I3778" s="1307">
        <f>+I3774</f>
        <v>0.95834826759383673</v>
      </c>
      <c r="J3778" s="1308"/>
      <c r="K3778" s="199">
        <f>+E3778/F3778*I3778</f>
        <v>1115.9700113660106</v>
      </c>
      <c r="L3778" s="186" t="s">
        <v>1603</v>
      </c>
      <c r="M3778" s="50"/>
      <c r="N3778" s="50"/>
      <c r="O3778" s="539"/>
      <c r="P3778" s="9"/>
      <c r="Q3778" s="34"/>
      <c r="R3778" s="5"/>
      <c r="S3778" s="35"/>
    </row>
    <row r="3779" spans="1:26" ht="30" customHeight="1" x14ac:dyDescent="0.35">
      <c r="A3779" s="186"/>
      <c r="B3779" s="373"/>
      <c r="C3779" s="374"/>
      <c r="D3779" s="375"/>
      <c r="E3779" s="151" t="s">
        <v>192</v>
      </c>
      <c r="F3779" s="143">
        <f>AVERAGE(F3774:F3778)</f>
        <v>305</v>
      </c>
      <c r="G3779" s="716"/>
      <c r="H3779" s="136"/>
      <c r="I3779" s="915"/>
      <c r="J3779" s="714" t="s">
        <v>192</v>
      </c>
      <c r="K3779" s="199">
        <f>AVERAGE(K3774:K3778)</f>
        <v>1284.5879849960995</v>
      </c>
      <c r="L3779" s="186" t="s">
        <v>1603</v>
      </c>
      <c r="M3779" s="50"/>
      <c r="N3779" s="50"/>
      <c r="O3779" s="539"/>
      <c r="P3779" s="9"/>
      <c r="Q3779" s="34"/>
      <c r="R3779" s="5"/>
      <c r="S3779" s="35"/>
    </row>
    <row r="3780" spans="1:26" ht="30" customHeight="1" thickBot="1" x14ac:dyDescent="0.4">
      <c r="A3780" s="186"/>
      <c r="B3780" s="1202"/>
      <c r="C3780" s="1203"/>
      <c r="D3780" s="1204"/>
      <c r="E3780" s="520"/>
      <c r="F3780" s="784"/>
      <c r="G3780" s="520"/>
      <c r="H3780" s="520"/>
      <c r="I3780" s="503"/>
      <c r="J3780" s="494" t="s">
        <v>37</v>
      </c>
      <c r="K3780" s="199">
        <f>AVERAGE(K3774:K3779)</f>
        <v>1284.5879849960995</v>
      </c>
      <c r="L3780" s="186" t="s">
        <v>1603</v>
      </c>
      <c r="M3780" s="50"/>
      <c r="N3780" s="50"/>
      <c r="O3780" s="539"/>
      <c r="P3780" s="9"/>
      <c r="Q3780" s="34"/>
      <c r="R3780" s="5"/>
      <c r="S3780" s="35"/>
    </row>
    <row r="3781" spans="1:26" ht="30" customHeight="1" thickBot="1" x14ac:dyDescent="0.4">
      <c r="A3781" s="1199"/>
      <c r="B3781" s="1200"/>
      <c r="C3781" s="1200"/>
      <c r="D3781" s="1200"/>
      <c r="E3781" s="1200"/>
      <c r="F3781" s="1200"/>
      <c r="G3781" s="1200"/>
      <c r="H3781" s="1200"/>
      <c r="I3781" s="1200"/>
      <c r="J3781" s="1200"/>
      <c r="K3781" s="1200"/>
      <c r="L3781" s="1201"/>
      <c r="M3781" s="50"/>
      <c r="O3781" s="539"/>
      <c r="P3781" s="9"/>
      <c r="Q3781" s="34"/>
      <c r="R3781" s="5"/>
      <c r="S3781" s="35"/>
    </row>
    <row r="3782" spans="1:26" ht="30" customHeight="1" x14ac:dyDescent="0.35">
      <c r="A3782" s="388" t="s">
        <v>1</v>
      </c>
      <c r="B3782" s="389">
        <v>8113</v>
      </c>
      <c r="C3782" s="1205" t="s">
        <v>1613</v>
      </c>
      <c r="D3782" s="1206"/>
      <c r="E3782" s="392" t="s">
        <v>3</v>
      </c>
      <c r="F3782" s="393" t="s">
        <v>1614</v>
      </c>
      <c r="G3782" s="390" t="s">
        <v>38</v>
      </c>
      <c r="H3782" s="132">
        <v>3000</v>
      </c>
      <c r="I3782" s="392" t="s">
        <v>5</v>
      </c>
      <c r="J3782" s="1207" t="s">
        <v>390</v>
      </c>
      <c r="K3782" s="1207"/>
      <c r="L3782" s="1208"/>
      <c r="M3782" s="50"/>
      <c r="N3782" s="50"/>
      <c r="O3782" s="539"/>
      <c r="P3782" s="9"/>
      <c r="Q3782" s="34"/>
      <c r="R3782" s="5"/>
      <c r="S3782" s="35"/>
    </row>
    <row r="3783" spans="1:26" ht="30" customHeight="1" x14ac:dyDescent="0.35">
      <c r="A3783" s="494" t="s">
        <v>187</v>
      </c>
      <c r="B3783" s="1280" t="s">
        <v>211</v>
      </c>
      <c r="C3783" s="1281"/>
      <c r="D3783" s="1282"/>
      <c r="E3783" s="566" t="s">
        <v>52</v>
      </c>
      <c r="F3783" s="566" t="s">
        <v>53</v>
      </c>
      <c r="G3783" s="1219" t="s">
        <v>54</v>
      </c>
      <c r="H3783" s="1220"/>
      <c r="I3783" s="185" t="s">
        <v>188</v>
      </c>
      <c r="J3783" s="185"/>
      <c r="K3783" s="399" t="s">
        <v>180</v>
      </c>
      <c r="L3783" s="400"/>
      <c r="M3783" s="50"/>
      <c r="N3783" s="50"/>
      <c r="O3783" s="735"/>
      <c r="P3783" s="9"/>
      <c r="Q3783" s="34"/>
      <c r="R3783" s="5"/>
      <c r="S3783" s="35"/>
    </row>
    <row r="3784" spans="1:26" ht="30" customHeight="1" x14ac:dyDescent="0.35">
      <c r="A3784" s="985" t="s">
        <v>997</v>
      </c>
      <c r="B3784" s="1212" t="s">
        <v>1615</v>
      </c>
      <c r="C3784" s="1213"/>
      <c r="D3784" s="1214"/>
      <c r="E3784" s="7">
        <f>(1850+5800)/2</f>
        <v>3825</v>
      </c>
      <c r="F3784" s="422" t="s">
        <v>1603</v>
      </c>
      <c r="G3784" s="127">
        <v>1000</v>
      </c>
      <c r="H3784" s="136" t="s">
        <v>1616</v>
      </c>
      <c r="I3784" s="204">
        <v>1.05</v>
      </c>
      <c r="J3784" s="1022"/>
      <c r="K3784" s="733">
        <f>+E3784*G3784*I3784</f>
        <v>4016250</v>
      </c>
      <c r="L3784" s="422" t="s">
        <v>1614</v>
      </c>
      <c r="M3784" s="50"/>
      <c r="N3784" s="50"/>
      <c r="O3784" s="735"/>
      <c r="P3784" s="9"/>
      <c r="Q3784" s="34"/>
      <c r="R3784" s="5"/>
      <c r="S3784" s="35"/>
    </row>
    <row r="3785" spans="1:26" ht="30" customHeight="1" x14ac:dyDescent="0.35">
      <c r="A3785" s="186"/>
      <c r="B3785" s="567"/>
      <c r="C3785" s="567"/>
      <c r="D3785" s="567"/>
      <c r="E3785" s="194"/>
      <c r="F3785" s="1215" t="s">
        <v>195</v>
      </c>
      <c r="G3785" s="1273" t="s">
        <v>196</v>
      </c>
      <c r="H3785" s="1273"/>
      <c r="I3785" s="1273"/>
      <c r="J3785" s="1273"/>
      <c r="K3785" s="197">
        <v>1.07</v>
      </c>
      <c r="L3785" s="186"/>
      <c r="M3785" s="50"/>
      <c r="N3785" s="50"/>
      <c r="O3785" s="5"/>
      <c r="P3785" s="9"/>
      <c r="Q3785" s="34"/>
      <c r="R3785" s="5"/>
      <c r="S3785" s="35"/>
    </row>
    <row r="3786" spans="1:26" ht="30" customHeight="1" x14ac:dyDescent="0.35">
      <c r="A3786" s="186"/>
      <c r="B3786" s="567"/>
      <c r="C3786" s="567"/>
      <c r="D3786" s="567"/>
      <c r="E3786" s="194"/>
      <c r="F3786" s="1216"/>
      <c r="G3786" s="1268" t="s">
        <v>276</v>
      </c>
      <c r="H3786" s="1268"/>
      <c r="I3786" s="1268"/>
      <c r="J3786" s="1268"/>
      <c r="K3786" s="197">
        <v>1.08</v>
      </c>
      <c r="L3786" s="186"/>
      <c r="M3786" s="50"/>
      <c r="N3786" s="50"/>
      <c r="O3786" s="5"/>
      <c r="P3786" s="9"/>
      <c r="Q3786" s="34"/>
      <c r="R3786" s="5"/>
      <c r="S3786" s="35"/>
      <c r="X3786" s="396"/>
      <c r="Y3786" s="396"/>
      <c r="Z3786" s="396"/>
    </row>
    <row r="3787" spans="1:26" ht="30" customHeight="1" x14ac:dyDescent="0.35">
      <c r="A3787" s="989"/>
      <c r="B3787" s="1044"/>
      <c r="C3787" s="1044"/>
      <c r="D3787" s="1044"/>
      <c r="E3787" s="325"/>
      <c r="F3787" s="422"/>
      <c r="G3787" s="127"/>
      <c r="H3787" s="136"/>
      <c r="I3787" s="204"/>
      <c r="J3787" s="186" t="s">
        <v>37</v>
      </c>
      <c r="K3787" s="733">
        <f>+K3784*K3785/K3786</f>
        <v>3979062.4999999995</v>
      </c>
      <c r="L3787" s="186" t="s">
        <v>1614</v>
      </c>
      <c r="M3787" s="50"/>
      <c r="N3787" s="50"/>
      <c r="O3787" s="5"/>
      <c r="P3787" s="9"/>
      <c r="Q3787" s="34"/>
      <c r="R3787" s="5"/>
      <c r="S3787" s="35"/>
    </row>
    <row r="3788" spans="1:26" ht="30" customHeight="1" x14ac:dyDescent="0.35">
      <c r="A3788" s="278"/>
      <c r="B3788" s="1044"/>
      <c r="C3788" s="1044"/>
      <c r="D3788" s="1044"/>
      <c r="E3788" s="913"/>
      <c r="F3788" s="503"/>
      <c r="G3788" s="1374" t="s">
        <v>257</v>
      </c>
      <c r="H3788" s="1375"/>
      <c r="I3788" s="1376"/>
      <c r="J3788" s="560">
        <f>VLOOKUP(B3782,'Mil Cost Premiums for PUCs'!$A$4:$R$285,18,FALSE)</f>
        <v>1.1199953840399997</v>
      </c>
      <c r="K3788" s="193">
        <f>+K3787*J3788</f>
        <v>4456531.6328066606</v>
      </c>
      <c r="L3788" s="186" t="s">
        <v>1614</v>
      </c>
      <c r="M3788" s="50"/>
      <c r="N3788" s="50"/>
      <c r="O3788" s="5"/>
      <c r="P3788" s="9"/>
      <c r="Q3788" s="34"/>
      <c r="R3788" s="5"/>
      <c r="S3788" s="35"/>
    </row>
    <row r="3789" spans="1:26" s="396" customFormat="1" ht="30" customHeight="1" thickBot="1" x14ac:dyDescent="0.4">
      <c r="A3789" s="376" t="s">
        <v>2808</v>
      </c>
      <c r="B3789" s="271"/>
      <c r="C3789" s="278"/>
      <c r="D3789" s="278"/>
      <c r="E3789" s="914"/>
      <c r="F3789" s="1415" t="s">
        <v>277</v>
      </c>
      <c r="G3789" s="1415"/>
      <c r="H3789" s="1415"/>
      <c r="I3789" s="1415"/>
      <c r="J3789" s="1086">
        <v>1.0833999999999999</v>
      </c>
      <c r="K3789" s="1087">
        <f>K3788*J3789</f>
        <v>4828206.3709827354</v>
      </c>
      <c r="L3789" s="186" t="s">
        <v>1614</v>
      </c>
      <c r="M3789" s="96"/>
      <c r="N3789" s="51"/>
      <c r="O3789" s="5"/>
      <c r="P3789" s="9"/>
      <c r="Q3789" s="34"/>
      <c r="R3789" s="5"/>
      <c r="S3789" s="35"/>
      <c r="T3789" s="9"/>
      <c r="U3789" s="9"/>
      <c r="V3789" s="9"/>
      <c r="W3789" s="9"/>
      <c r="X3789" s="9"/>
      <c r="Y3789" s="9"/>
      <c r="Z3789" s="9"/>
    </row>
    <row r="3790" spans="1:26" ht="30" customHeight="1" x14ac:dyDescent="0.35">
      <c r="B3790" s="569"/>
      <c r="C3790" s="510"/>
      <c r="D3790" s="510"/>
      <c r="E3790" s="510"/>
      <c r="F3790" s="510"/>
      <c r="G3790" s="1737" t="s">
        <v>2817</v>
      </c>
      <c r="H3790" s="1738"/>
      <c r="I3790" s="1739"/>
      <c r="J3790" s="570">
        <v>1.1214</v>
      </c>
      <c r="K3790" s="285">
        <f>+K3789*J3790</f>
        <v>5414350.6244200394</v>
      </c>
      <c r="L3790" s="186" t="s">
        <v>1614</v>
      </c>
      <c r="M3790" s="50"/>
      <c r="N3790" s="50"/>
      <c r="O3790" s="5"/>
      <c r="P3790" s="9"/>
      <c r="Q3790" s="34"/>
      <c r="R3790" s="5"/>
      <c r="S3790" s="35"/>
    </row>
    <row r="3791" spans="1:26" ht="30" customHeight="1" thickBot="1" x14ac:dyDescent="0.4">
      <c r="B3791" s="569"/>
      <c r="C3791" s="510"/>
      <c r="D3791" s="510"/>
      <c r="E3791" s="510"/>
      <c r="F3791" s="510"/>
      <c r="G3791" s="1191" t="s">
        <v>3000</v>
      </c>
      <c r="H3791" s="1192"/>
      <c r="I3791" s="1193"/>
      <c r="J3791" s="570">
        <v>1.0438745311870361</v>
      </c>
      <c r="K3791" s="285">
        <f>+K3790*J3791</f>
        <v>5651902.7197487047</v>
      </c>
      <c r="L3791" s="186" t="s">
        <v>1614</v>
      </c>
      <c r="M3791" s="50"/>
      <c r="N3791" s="50"/>
      <c r="O3791" s="5"/>
      <c r="P3791" s="9"/>
      <c r="Q3791" s="34"/>
      <c r="R3791" s="5"/>
      <c r="S3791" s="35"/>
    </row>
    <row r="3792" spans="1:26" ht="30" customHeight="1" thickBot="1" x14ac:dyDescent="0.4">
      <c r="A3792" s="1199"/>
      <c r="B3792" s="1200"/>
      <c r="C3792" s="1200"/>
      <c r="D3792" s="1200"/>
      <c r="E3792" s="1200"/>
      <c r="F3792" s="1200"/>
      <c r="G3792" s="1200"/>
      <c r="H3792" s="1200"/>
      <c r="I3792" s="1200"/>
      <c r="J3792" s="1200"/>
      <c r="K3792" s="1200"/>
      <c r="L3792" s="1201"/>
      <c r="N3792" s="50"/>
      <c r="O3792" s="5"/>
      <c r="P3792" s="9"/>
      <c r="Q3792" s="34"/>
      <c r="R3792" s="5"/>
      <c r="S3792" s="35"/>
    </row>
    <row r="3793" spans="1:19" ht="30" customHeight="1" x14ac:dyDescent="0.35">
      <c r="A3793" s="388" t="s">
        <v>1</v>
      </c>
      <c r="B3793" s="389">
        <v>8114</v>
      </c>
      <c r="C3793" s="1205" t="s">
        <v>1617</v>
      </c>
      <c r="D3793" s="1206"/>
      <c r="E3793" s="392" t="s">
        <v>3</v>
      </c>
      <c r="F3793" s="393" t="s">
        <v>1603</v>
      </c>
      <c r="G3793" s="390" t="s">
        <v>38</v>
      </c>
      <c r="H3793" s="132">
        <v>440</v>
      </c>
      <c r="I3793" s="392" t="s">
        <v>5</v>
      </c>
      <c r="J3793" s="1207" t="s">
        <v>390</v>
      </c>
      <c r="K3793" s="1207"/>
      <c r="L3793" s="1208"/>
      <c r="M3793" s="50"/>
      <c r="N3793" s="50"/>
      <c r="O3793" s="5"/>
      <c r="P3793" s="9"/>
      <c r="Q3793" s="34"/>
      <c r="R3793" s="5"/>
      <c r="S3793" s="35"/>
    </row>
    <row r="3794" spans="1:19" ht="30" customHeight="1" x14ac:dyDescent="0.35">
      <c r="A3794" s="494" t="s">
        <v>187</v>
      </c>
      <c r="B3794" s="1280" t="s">
        <v>211</v>
      </c>
      <c r="C3794" s="1281"/>
      <c r="D3794" s="1282"/>
      <c r="E3794" s="566" t="s">
        <v>52</v>
      </c>
      <c r="F3794" s="566" t="s">
        <v>53</v>
      </c>
      <c r="G3794" s="1219" t="s">
        <v>54</v>
      </c>
      <c r="H3794" s="1220"/>
      <c r="I3794" s="185" t="s">
        <v>188</v>
      </c>
      <c r="J3794" s="185"/>
      <c r="K3794" s="399" t="s">
        <v>180</v>
      </c>
      <c r="L3794" s="400"/>
      <c r="M3794" s="50"/>
      <c r="N3794" s="50"/>
      <c r="O3794" s="5"/>
      <c r="P3794" s="9"/>
      <c r="Q3794" s="34"/>
      <c r="R3794" s="5"/>
      <c r="S3794" s="35"/>
    </row>
    <row r="3795" spans="1:19" ht="30" customHeight="1" x14ac:dyDescent="0.35">
      <c r="A3795" s="985" t="s">
        <v>997</v>
      </c>
      <c r="B3795" s="1212" t="s">
        <v>1618</v>
      </c>
      <c r="C3795" s="1213"/>
      <c r="D3795" s="1214"/>
      <c r="E3795" s="7">
        <f>(2800+6550)/2</f>
        <v>4675</v>
      </c>
      <c r="F3795" s="422" t="s">
        <v>1603</v>
      </c>
      <c r="G3795" s="127"/>
      <c r="H3795" s="136"/>
      <c r="I3795" s="204">
        <v>1.05</v>
      </c>
      <c r="J3795" s="1022"/>
      <c r="K3795" s="733">
        <f>+E3795*I3795</f>
        <v>4908.75</v>
      </c>
      <c r="L3795" s="422" t="s">
        <v>1603</v>
      </c>
      <c r="M3795" s="50"/>
      <c r="N3795" s="50"/>
      <c r="O3795" s="5"/>
      <c r="P3795" s="9"/>
      <c r="Q3795" s="34"/>
      <c r="R3795" s="5"/>
      <c r="S3795" s="35"/>
    </row>
    <row r="3796" spans="1:19" ht="30" customHeight="1" x14ac:dyDescent="0.35">
      <c r="A3796" s="186"/>
      <c r="B3796" s="567"/>
      <c r="C3796" s="567"/>
      <c r="D3796" s="567"/>
      <c r="E3796" s="194"/>
      <c r="F3796" s="1215" t="s">
        <v>195</v>
      </c>
      <c r="G3796" s="1273" t="s">
        <v>196</v>
      </c>
      <c r="H3796" s="1273"/>
      <c r="I3796" s="1273"/>
      <c r="J3796" s="1273"/>
      <c r="K3796" s="197">
        <v>1.07</v>
      </c>
      <c r="L3796" s="186"/>
      <c r="M3796" s="96"/>
      <c r="N3796" s="50"/>
      <c r="O3796" s="5"/>
      <c r="P3796" s="9"/>
      <c r="Q3796" s="34"/>
      <c r="R3796" s="5"/>
      <c r="S3796" s="35"/>
    </row>
    <row r="3797" spans="1:19" ht="30" customHeight="1" x14ac:dyDescent="0.35">
      <c r="A3797" s="186"/>
      <c r="B3797" s="567"/>
      <c r="C3797" s="567"/>
      <c r="D3797" s="567"/>
      <c r="E3797" s="194"/>
      <c r="F3797" s="1216"/>
      <c r="G3797" s="1268" t="s">
        <v>276</v>
      </c>
      <c r="H3797" s="1268"/>
      <c r="I3797" s="1268"/>
      <c r="J3797" s="1268"/>
      <c r="K3797" s="197">
        <v>1.08</v>
      </c>
      <c r="L3797" s="186"/>
      <c r="M3797" s="50"/>
      <c r="N3797" s="50"/>
      <c r="O3797" s="5"/>
      <c r="P3797" s="9"/>
      <c r="Q3797" s="34"/>
      <c r="R3797" s="5"/>
      <c r="S3797" s="35"/>
    </row>
    <row r="3798" spans="1:19" ht="30" customHeight="1" x14ac:dyDescent="0.35">
      <c r="A3798" s="989"/>
      <c r="B3798" s="1044"/>
      <c r="C3798" s="1044"/>
      <c r="D3798" s="1044"/>
      <c r="E3798" s="194"/>
      <c r="F3798" s="422"/>
      <c r="G3798" s="127"/>
      <c r="H3798" s="136"/>
      <c r="I3798" s="204"/>
      <c r="J3798" s="186" t="s">
        <v>37</v>
      </c>
      <c r="K3798" s="733">
        <f>+K3795*K3796/K3797</f>
        <v>4863.2986111111113</v>
      </c>
      <c r="L3798" s="186" t="s">
        <v>1603</v>
      </c>
      <c r="M3798" s="50"/>
      <c r="N3798" s="50"/>
      <c r="O3798" s="5"/>
      <c r="P3798" s="9"/>
      <c r="Q3798" s="34"/>
      <c r="R3798" s="5"/>
      <c r="S3798" s="35"/>
    </row>
    <row r="3799" spans="1:19" ht="30" customHeight="1" x14ac:dyDescent="0.35">
      <c r="A3799" s="1044"/>
      <c r="B3799" s="1044"/>
      <c r="C3799" s="1044"/>
      <c r="D3799" s="1044"/>
      <c r="E3799" s="503"/>
      <c r="F3799" s="503"/>
      <c r="G3799" s="1374" t="s">
        <v>257</v>
      </c>
      <c r="H3799" s="1375"/>
      <c r="I3799" s="1376"/>
      <c r="J3799" s="560">
        <f>VLOOKUP(B3793,'Mil Cost Premiums for PUCs'!$A$4:$R$285,18,FALSE)</f>
        <v>1.1199953840399997</v>
      </c>
      <c r="K3799" s="193">
        <f>+K3798*J3799</f>
        <v>5446.8719956525856</v>
      </c>
      <c r="L3799" s="186" t="s">
        <v>1603</v>
      </c>
      <c r="M3799" s="50"/>
      <c r="N3799" s="50"/>
      <c r="O3799" s="5"/>
      <c r="P3799" s="9"/>
      <c r="Q3799" s="34"/>
      <c r="R3799" s="5"/>
      <c r="S3799" s="35"/>
    </row>
    <row r="3800" spans="1:19" ht="30" customHeight="1" x14ac:dyDescent="0.35">
      <c r="A3800" s="569"/>
      <c r="B3800" s="569"/>
      <c r="C3800" s="510"/>
      <c r="D3800" s="510"/>
      <c r="E3800" s="510"/>
      <c r="F3800" s="510"/>
      <c r="G3800" s="1737" t="s">
        <v>277</v>
      </c>
      <c r="H3800" s="1738"/>
      <c r="I3800" s="1739"/>
      <c r="J3800" s="1086">
        <v>1.0833999999999999</v>
      </c>
      <c r="K3800" s="285">
        <f>+K3799*J3800</f>
        <v>5901.1411200900111</v>
      </c>
      <c r="L3800" s="569" t="s">
        <v>1614</v>
      </c>
      <c r="M3800" s="50"/>
      <c r="N3800" s="50"/>
      <c r="O3800" s="5"/>
      <c r="P3800" s="9"/>
      <c r="Q3800" s="34"/>
      <c r="R3800" s="5"/>
      <c r="S3800" s="35"/>
    </row>
    <row r="3801" spans="1:19" ht="30" customHeight="1" x14ac:dyDescent="0.35">
      <c r="A3801" s="569"/>
      <c r="B3801" s="569"/>
      <c r="C3801" s="510"/>
      <c r="D3801" s="510"/>
      <c r="E3801" s="510"/>
      <c r="F3801" s="510"/>
      <c r="G3801" s="1737" t="s">
        <v>2817</v>
      </c>
      <c r="H3801" s="1738"/>
      <c r="I3801" s="1739"/>
      <c r="J3801" s="570">
        <v>1.1214</v>
      </c>
      <c r="K3801" s="285">
        <f>+K3800*J3801</f>
        <v>6617.5396520689383</v>
      </c>
      <c r="L3801" s="569" t="s">
        <v>1614</v>
      </c>
      <c r="M3801" s="50"/>
      <c r="N3801" s="50"/>
      <c r="O3801" s="5"/>
      <c r="P3801" s="9"/>
      <c r="Q3801" s="34"/>
      <c r="R3801" s="5"/>
      <c r="S3801" s="35"/>
    </row>
    <row r="3802" spans="1:19" ht="30" customHeight="1" thickBot="1" x14ac:dyDescent="0.4">
      <c r="A3802" s="569"/>
      <c r="B3802" s="569"/>
      <c r="C3802" s="510"/>
      <c r="D3802" s="510"/>
      <c r="E3802" s="510"/>
      <c r="F3802" s="510"/>
      <c r="G3802" s="1191" t="s">
        <v>3000</v>
      </c>
      <c r="H3802" s="1192"/>
      <c r="I3802" s="1193"/>
      <c r="J3802" s="570">
        <v>1.0438745311870361</v>
      </c>
      <c r="K3802" s="285">
        <f>+K3801*J3802</f>
        <v>6907.8811019150853</v>
      </c>
      <c r="L3802" s="569" t="s">
        <v>1614</v>
      </c>
      <c r="M3802" s="50"/>
      <c r="N3802" s="50"/>
      <c r="O3802" s="5"/>
      <c r="P3802" s="9"/>
      <c r="Q3802" s="34"/>
      <c r="R3802" s="5"/>
      <c r="S3802" s="35"/>
    </row>
    <row r="3803" spans="1:19" ht="30" customHeight="1" thickBot="1" x14ac:dyDescent="0.4">
      <c r="A3803" s="1199"/>
      <c r="B3803" s="1200"/>
      <c r="C3803" s="1200"/>
      <c r="D3803" s="1200"/>
      <c r="E3803" s="1200"/>
      <c r="F3803" s="1200"/>
      <c r="G3803" s="1200"/>
      <c r="H3803" s="1200"/>
      <c r="I3803" s="1200"/>
      <c r="J3803" s="1200"/>
      <c r="K3803" s="1200"/>
      <c r="L3803" s="1201"/>
      <c r="M3803" s="50"/>
      <c r="N3803" s="50"/>
      <c r="O3803" s="5"/>
      <c r="P3803" s="9"/>
      <c r="Q3803" s="34"/>
      <c r="R3803" s="5"/>
      <c r="S3803" s="35"/>
    </row>
    <row r="3804" spans="1:19" ht="30" customHeight="1" x14ac:dyDescent="0.35">
      <c r="A3804" s="388" t="s">
        <v>1</v>
      </c>
      <c r="B3804" s="389">
        <v>8115</v>
      </c>
      <c r="C3804" s="1205" t="s">
        <v>1619</v>
      </c>
      <c r="D3804" s="1206"/>
      <c r="E3804" s="392" t="s">
        <v>3</v>
      </c>
      <c r="F3804" s="393" t="s">
        <v>1603</v>
      </c>
      <c r="G3804" s="390" t="s">
        <v>38</v>
      </c>
      <c r="H3804" s="132">
        <v>423</v>
      </c>
      <c r="I3804" s="392" t="s">
        <v>5</v>
      </c>
      <c r="J3804" s="1207" t="s">
        <v>2874</v>
      </c>
      <c r="K3804" s="1207"/>
      <c r="L3804" s="1208"/>
      <c r="M3804" s="50"/>
      <c r="N3804" s="50"/>
      <c r="O3804" s="5"/>
      <c r="P3804" s="9"/>
      <c r="Q3804" s="34"/>
      <c r="R3804" s="5"/>
      <c r="S3804" s="35"/>
    </row>
    <row r="3805" spans="1:19" ht="30" customHeight="1" x14ac:dyDescent="0.35">
      <c r="A3805" s="494" t="s">
        <v>187</v>
      </c>
      <c r="B3805" s="1280" t="s">
        <v>211</v>
      </c>
      <c r="C3805" s="1281"/>
      <c r="D3805" s="1282"/>
      <c r="E3805" s="566" t="s">
        <v>52</v>
      </c>
      <c r="F3805" s="566" t="s">
        <v>53</v>
      </c>
      <c r="G3805" s="1219" t="s">
        <v>54</v>
      </c>
      <c r="H3805" s="1220"/>
      <c r="I3805" s="185"/>
      <c r="J3805" s="185" t="s">
        <v>188</v>
      </c>
      <c r="K3805" s="399" t="s">
        <v>180</v>
      </c>
      <c r="L3805" s="400"/>
      <c r="M3805" s="50"/>
      <c r="N3805" s="50"/>
      <c r="O3805" s="5"/>
      <c r="P3805" s="9"/>
      <c r="Q3805" s="34"/>
      <c r="R3805" s="5"/>
      <c r="S3805" s="35"/>
    </row>
    <row r="3806" spans="1:19" ht="30" customHeight="1" x14ac:dyDescent="0.35">
      <c r="A3806" s="985" t="s">
        <v>1620</v>
      </c>
      <c r="B3806" s="1212" t="s">
        <v>2909</v>
      </c>
      <c r="C3806" s="1213"/>
      <c r="D3806" s="1214"/>
      <c r="E3806" s="7">
        <v>4425</v>
      </c>
      <c r="F3806" s="422" t="s">
        <v>1621</v>
      </c>
      <c r="G3806" s="873">
        <f>300/1000</f>
        <v>0.3</v>
      </c>
      <c r="H3806" s="136" t="s">
        <v>2533</v>
      </c>
      <c r="I3806" s="278"/>
      <c r="J3806" s="204">
        <v>1.01</v>
      </c>
      <c r="K3806" s="733">
        <f>+E3806/G3806*J3806</f>
        <v>14897.5</v>
      </c>
      <c r="L3806" s="422" t="s">
        <v>1603</v>
      </c>
      <c r="M3806" s="97"/>
      <c r="N3806" s="50"/>
      <c r="O3806" s="5"/>
      <c r="P3806" s="9"/>
      <c r="Q3806" s="34"/>
      <c r="R3806" s="5"/>
      <c r="S3806" s="35"/>
    </row>
    <row r="3807" spans="1:19" ht="30" customHeight="1" x14ac:dyDescent="0.35">
      <c r="A3807" s="985" t="s">
        <v>1620</v>
      </c>
      <c r="B3807" s="1202" t="s">
        <v>1623</v>
      </c>
      <c r="C3807" s="1203"/>
      <c r="D3807" s="1204"/>
      <c r="E3807" s="194">
        <v>297000</v>
      </c>
      <c r="F3807" s="422" t="s">
        <v>1603</v>
      </c>
      <c r="G3807" s="127">
        <v>300</v>
      </c>
      <c r="H3807" s="136" t="s">
        <v>1622</v>
      </c>
      <c r="I3807" s="278"/>
      <c r="J3807" s="204">
        <v>1.01</v>
      </c>
      <c r="K3807" s="733">
        <f>+E3807/G3807*J3807</f>
        <v>999.9</v>
      </c>
      <c r="L3807" s="186" t="s">
        <v>1603</v>
      </c>
      <c r="M3807" s="50"/>
      <c r="N3807" s="50"/>
      <c r="O3807" s="5"/>
      <c r="P3807" s="9"/>
      <c r="Q3807" s="34"/>
      <c r="R3807" s="5"/>
      <c r="S3807" s="35"/>
    </row>
    <row r="3808" spans="1:19" ht="30" customHeight="1" x14ac:dyDescent="0.35">
      <c r="A3808" s="985" t="s">
        <v>1620</v>
      </c>
      <c r="B3808" s="1202" t="s">
        <v>2910</v>
      </c>
      <c r="C3808" s="1203"/>
      <c r="D3808" s="1204"/>
      <c r="E3808" s="194">
        <v>1090</v>
      </c>
      <c r="F3808" s="422" t="s">
        <v>40</v>
      </c>
      <c r="G3808" s="1090">
        <f>4/300</f>
        <v>1.3333333333333334E-2</v>
      </c>
      <c r="H3808" s="136" t="s">
        <v>2911</v>
      </c>
      <c r="I3808" s="278"/>
      <c r="J3808" s="204">
        <v>1.01</v>
      </c>
      <c r="K3808" s="733">
        <f>+E3808*G3808*J3808</f>
        <v>14.678666666666668</v>
      </c>
      <c r="L3808" s="186" t="s">
        <v>1603</v>
      </c>
      <c r="M3808" s="50"/>
      <c r="N3808" s="50"/>
      <c r="O3808" s="5"/>
      <c r="P3808" s="9"/>
      <c r="Q3808" s="34"/>
      <c r="R3808" s="5"/>
      <c r="S3808" s="35"/>
    </row>
    <row r="3809" spans="1:23" ht="30" customHeight="1" x14ac:dyDescent="0.35">
      <c r="A3809" s="985" t="s">
        <v>1620</v>
      </c>
      <c r="B3809" s="1212" t="s">
        <v>2535</v>
      </c>
      <c r="C3809" s="1213"/>
      <c r="D3809" s="1214"/>
      <c r="E3809" s="194">
        <v>11500</v>
      </c>
      <c r="F3809" s="422" t="s">
        <v>40</v>
      </c>
      <c r="G3809" s="1090">
        <f>18/300</f>
        <v>0.06</v>
      </c>
      <c r="H3809" s="136" t="s">
        <v>2534</v>
      </c>
      <c r="I3809" s="278"/>
      <c r="J3809" s="204">
        <v>1.01</v>
      </c>
      <c r="K3809" s="733">
        <f>+E3809*G3809*J3809</f>
        <v>696.9</v>
      </c>
      <c r="L3809" s="186" t="s">
        <v>1603</v>
      </c>
      <c r="M3809" s="96"/>
      <c r="N3809" s="50"/>
      <c r="O3809" s="5"/>
      <c r="P3809" s="9"/>
      <c r="Q3809" s="34"/>
      <c r="R3809" s="5"/>
      <c r="S3809" s="35"/>
    </row>
    <row r="3810" spans="1:23" ht="30" customHeight="1" x14ac:dyDescent="0.35">
      <c r="A3810" s="985" t="s">
        <v>1620</v>
      </c>
      <c r="B3810" s="1212" t="s">
        <v>2912</v>
      </c>
      <c r="C3810" s="1213"/>
      <c r="D3810" s="1214"/>
      <c r="E3810" s="194">
        <v>1210</v>
      </c>
      <c r="F3810" s="422" t="s">
        <v>40</v>
      </c>
      <c r="G3810" s="1090">
        <v>0.3</v>
      </c>
      <c r="H3810" s="136" t="s">
        <v>2534</v>
      </c>
      <c r="I3810" s="278"/>
      <c r="J3810" s="204">
        <v>1.01</v>
      </c>
      <c r="K3810" s="733">
        <f>+E3810*G3810*J3810</f>
        <v>366.63</v>
      </c>
      <c r="L3810" s="186" t="s">
        <v>1603</v>
      </c>
      <c r="M3810" s="96"/>
      <c r="N3810" s="50"/>
      <c r="O3810" s="5"/>
      <c r="P3810" s="9"/>
      <c r="Q3810" s="34"/>
      <c r="R3810" s="5"/>
      <c r="S3810" s="35"/>
    </row>
    <row r="3811" spans="1:23" ht="30" customHeight="1" x14ac:dyDescent="0.35">
      <c r="A3811" s="1091"/>
      <c r="B3811" s="374"/>
      <c r="C3811" s="374"/>
      <c r="D3811" s="375"/>
      <c r="E3811" s="194"/>
      <c r="F3811" s="422"/>
      <c r="G3811" s="127"/>
      <c r="H3811" s="136"/>
      <c r="I3811" s="204"/>
      <c r="J3811" s="186" t="s">
        <v>223</v>
      </c>
      <c r="K3811" s="733">
        <f>SUM(K3806:K3810)</f>
        <v>16975.608666666667</v>
      </c>
      <c r="L3811" s="186" t="s">
        <v>1603</v>
      </c>
      <c r="M3811" s="50"/>
      <c r="N3811" s="50"/>
      <c r="O3811" s="5"/>
      <c r="P3811" s="9"/>
      <c r="Q3811" s="34"/>
      <c r="R3811" s="5"/>
      <c r="S3811" s="35"/>
    </row>
    <row r="3812" spans="1:23" ht="30" customHeight="1" x14ac:dyDescent="0.35">
      <c r="A3812" s="186"/>
      <c r="B3812" s="567"/>
      <c r="C3812" s="567"/>
      <c r="D3812" s="567"/>
      <c r="E3812" s="194"/>
      <c r="F3812" s="1215" t="s">
        <v>195</v>
      </c>
      <c r="G3812" s="1273" t="s">
        <v>196</v>
      </c>
      <c r="H3812" s="1273"/>
      <c r="I3812" s="1273"/>
      <c r="J3812" s="1273"/>
      <c r="K3812" s="196">
        <v>1.05</v>
      </c>
      <c r="L3812" s="186"/>
      <c r="M3812" s="50"/>
      <c r="N3812" s="50"/>
      <c r="O3812" s="5"/>
      <c r="P3812" s="9"/>
      <c r="Q3812" s="34"/>
      <c r="R3812" s="5"/>
      <c r="S3812" s="35"/>
    </row>
    <row r="3813" spans="1:23" ht="75" customHeight="1" x14ac:dyDescent="0.35">
      <c r="A3813" s="186"/>
      <c r="B3813" s="900"/>
      <c r="C3813" s="900"/>
      <c r="D3813" s="900"/>
      <c r="E3813" s="147"/>
      <c r="F3813" s="1609"/>
      <c r="G3813" s="1268" t="s">
        <v>2875</v>
      </c>
      <c r="H3813" s="1268"/>
      <c r="I3813" s="1268"/>
      <c r="J3813" s="1268"/>
      <c r="K3813" s="196">
        <v>1.07</v>
      </c>
      <c r="L3813" s="755"/>
      <c r="M3813" s="50"/>
      <c r="N3813" s="50"/>
      <c r="O3813" s="5"/>
      <c r="P3813" s="9"/>
      <c r="Q3813" s="34"/>
      <c r="R3813" s="5"/>
      <c r="S3813" s="35"/>
    </row>
    <row r="3814" spans="1:23" ht="75" customHeight="1" x14ac:dyDescent="0.35">
      <c r="A3814" s="1092"/>
      <c r="B3814" s="1093"/>
      <c r="C3814" s="1093"/>
      <c r="D3814" s="908"/>
      <c r="E3814" s="180"/>
      <c r="F3814" s="897"/>
      <c r="G3814" s="897"/>
      <c r="H3814" s="897"/>
      <c r="I3814" s="1094"/>
      <c r="J3814" s="897" t="s">
        <v>37</v>
      </c>
      <c r="K3814" s="1095">
        <f>+K3811*K3812/K3813</f>
        <v>16658.307570093457</v>
      </c>
      <c r="L3814" s="897" t="s">
        <v>1603</v>
      </c>
      <c r="M3814" s="50"/>
      <c r="N3814" s="50"/>
      <c r="O3814" s="5"/>
      <c r="P3814" s="9"/>
      <c r="Q3814" s="34"/>
      <c r="R3814" s="5"/>
      <c r="S3814" s="35"/>
    </row>
    <row r="3815" spans="1:23" ht="30" customHeight="1" thickBot="1" x14ac:dyDescent="0.4">
      <c r="A3815" s="908"/>
      <c r="B3815" s="908"/>
      <c r="C3815" s="908"/>
      <c r="D3815" s="1096"/>
      <c r="E3815" s="901"/>
      <c r="F3815" s="901"/>
      <c r="G3815" s="1366" t="s">
        <v>257</v>
      </c>
      <c r="H3815" s="1367"/>
      <c r="I3815" s="1368"/>
      <c r="J3815" s="1085">
        <f>VLOOKUP(B3804,'Mil Cost Premiums for PUCs'!$A$4:$R$285,18,FALSE)</f>
        <v>1.1199953840399997</v>
      </c>
      <c r="K3815" s="181">
        <f>K3814*J3815</f>
        <v>18657.227584423254</v>
      </c>
      <c r="L3815" s="897" t="s">
        <v>1603</v>
      </c>
      <c r="M3815" s="50"/>
      <c r="N3815" s="50"/>
      <c r="O3815" s="5"/>
      <c r="P3815" s="9"/>
      <c r="Q3815" s="34"/>
      <c r="R3815" s="5"/>
      <c r="S3815" s="35"/>
    </row>
    <row r="3816" spans="1:23" ht="30" customHeight="1" thickBot="1" x14ac:dyDescent="0.4">
      <c r="A3816" s="1429"/>
      <c r="B3816" s="1430"/>
      <c r="C3816" s="1430"/>
      <c r="D3816" s="1430"/>
      <c r="E3816" s="1430"/>
      <c r="F3816" s="1430"/>
      <c r="G3816" s="1430"/>
      <c r="H3816" s="1430"/>
      <c r="I3816" s="1430"/>
      <c r="J3816" s="1430"/>
      <c r="K3816" s="1430"/>
      <c r="L3816" s="1431"/>
      <c r="M3816" s="50"/>
      <c r="N3816" s="50"/>
      <c r="O3816" s="5"/>
      <c r="P3816" s="9"/>
      <c r="Q3816" s="34"/>
      <c r="R3816" s="5"/>
      <c r="S3816" s="35"/>
      <c r="U3816" s="396"/>
      <c r="V3816" s="396"/>
      <c r="W3816" s="396"/>
    </row>
    <row r="3817" spans="1:23" ht="30" customHeight="1" x14ac:dyDescent="0.35">
      <c r="A3817" s="808" t="s">
        <v>1</v>
      </c>
      <c r="B3817" s="809">
        <v>8116</v>
      </c>
      <c r="C3817" s="1269" t="s">
        <v>3021</v>
      </c>
      <c r="D3817" s="1269"/>
      <c r="E3817" s="810" t="s">
        <v>3</v>
      </c>
      <c r="F3817" s="811" t="s">
        <v>1614</v>
      </c>
      <c r="G3817" s="812" t="s">
        <v>3009</v>
      </c>
      <c r="H3817" s="811">
        <v>1</v>
      </c>
      <c r="I3817" s="811" t="s">
        <v>5</v>
      </c>
      <c r="J3817" s="1207" t="s">
        <v>3029</v>
      </c>
      <c r="K3817" s="1270"/>
      <c r="L3817" s="1271"/>
      <c r="M3817" s="594"/>
      <c r="N3817" s="50"/>
      <c r="O3817" s="5"/>
      <c r="P3817" s="9"/>
      <c r="Q3817" s="34"/>
      <c r="R3817" s="5"/>
      <c r="S3817" s="35"/>
    </row>
    <row r="3818" spans="1:23" ht="30" customHeight="1" x14ac:dyDescent="0.35">
      <c r="A3818" s="813"/>
      <c r="B3818" s="1283" t="s">
        <v>7</v>
      </c>
      <c r="C3818" s="1283"/>
      <c r="D3818" s="1283"/>
      <c r="E3818" s="814" t="s">
        <v>52</v>
      </c>
      <c r="F3818" s="814" t="s">
        <v>53</v>
      </c>
      <c r="G3818" s="1284" t="s">
        <v>54</v>
      </c>
      <c r="H3818" s="1284"/>
      <c r="I3818" s="446" t="s">
        <v>3022</v>
      </c>
      <c r="J3818" s="446" t="s">
        <v>56</v>
      </c>
      <c r="K3818" s="814" t="s">
        <v>180</v>
      </c>
      <c r="L3818" s="815" t="s">
        <v>9</v>
      </c>
      <c r="M3818"/>
      <c r="N3818" s="50"/>
      <c r="O3818" s="5"/>
      <c r="P3818" s="9"/>
      <c r="Q3818" s="34"/>
      <c r="R3818" s="5"/>
      <c r="S3818" s="35"/>
    </row>
    <row r="3819" spans="1:23" ht="30" customHeight="1" x14ac:dyDescent="0.35">
      <c r="A3819" s="821"/>
      <c r="B3819" s="1285" t="s">
        <v>3023</v>
      </c>
      <c r="C3819" s="1285"/>
      <c r="D3819" s="1285"/>
      <c r="E3819" s="382">
        <v>1813.53</v>
      </c>
      <c r="F3819" s="822" t="s">
        <v>3024</v>
      </c>
      <c r="G3819" s="822">
        <v>1000</v>
      </c>
      <c r="H3819" s="822" t="s">
        <v>3025</v>
      </c>
      <c r="I3819" s="1097">
        <v>1</v>
      </c>
      <c r="J3819" s="823">
        <f>+'FY2024 MILCON Inflation Table'!F19</f>
        <v>1.0438745311870332</v>
      </c>
      <c r="K3819" s="824">
        <f>+E3819*G3819*I3819*J3819</f>
        <v>1893097.7785436204</v>
      </c>
      <c r="L3819" s="825" t="s">
        <v>1614</v>
      </c>
      <c r="M3819"/>
      <c r="N3819" s="50"/>
      <c r="O3819" s="5"/>
      <c r="P3819" s="9"/>
      <c r="Q3819" s="34"/>
      <c r="R3819" s="5"/>
      <c r="S3819" s="35"/>
    </row>
    <row r="3820" spans="1:23" ht="30" customHeight="1" x14ac:dyDescent="0.35">
      <c r="A3820" s="821"/>
      <c r="B3820" s="1285" t="s">
        <v>3026</v>
      </c>
      <c r="C3820" s="1285"/>
      <c r="D3820" s="1285"/>
      <c r="E3820" s="382">
        <v>1906.95</v>
      </c>
      <c r="F3820" s="822" t="s">
        <v>3024</v>
      </c>
      <c r="G3820" s="822">
        <v>1000</v>
      </c>
      <c r="H3820" s="822" t="s">
        <v>3025</v>
      </c>
      <c r="I3820" s="1097">
        <v>1</v>
      </c>
      <c r="J3820" s="823">
        <f>+'FY2024 MILCON Inflation Table'!F19</f>
        <v>1.0438745311870332</v>
      </c>
      <c r="K3820" s="824">
        <f>+E3820*G3820*I3820*J3820</f>
        <v>1990616.537247113</v>
      </c>
      <c r="L3820" s="825" t="s">
        <v>1614</v>
      </c>
      <c r="M3820"/>
      <c r="N3820" s="50"/>
      <c r="O3820" s="466"/>
      <c r="P3820" s="396"/>
      <c r="Q3820" s="1109"/>
      <c r="R3820" s="466"/>
      <c r="S3820" s="1110"/>
      <c r="T3820" s="396"/>
    </row>
    <row r="3821" spans="1:23" ht="75" customHeight="1" x14ac:dyDescent="0.35">
      <c r="A3821" s="821"/>
      <c r="B3821" s="1285"/>
      <c r="C3821" s="1285"/>
      <c r="D3821" s="1285"/>
      <c r="E3821" s="382"/>
      <c r="F3821" s="822"/>
      <c r="G3821" s="822"/>
      <c r="H3821" s="822"/>
      <c r="I3821" s="822"/>
      <c r="J3821" s="823" t="s">
        <v>192</v>
      </c>
      <c r="K3821" s="824">
        <f>AVERAGE(K3819:K3820)</f>
        <v>1941857.1578953667</v>
      </c>
      <c r="L3821" s="825" t="s">
        <v>1614</v>
      </c>
      <c r="M3821"/>
      <c r="N3821" s="50"/>
      <c r="O3821" s="5"/>
      <c r="P3821" s="9"/>
      <c r="Q3821" s="34"/>
      <c r="R3821" s="5"/>
      <c r="S3821" s="35"/>
    </row>
    <row r="3822" spans="1:23" ht="27" customHeight="1" thickBot="1" x14ac:dyDescent="0.4">
      <c r="A3822" s="1260" t="s">
        <v>3027</v>
      </c>
      <c r="B3822" s="1261"/>
      <c r="C3822" s="1261"/>
      <c r="D3822" s="1261"/>
      <c r="E3822" s="1261"/>
      <c r="F3822" s="1262"/>
      <c r="G3822" s="830" t="s">
        <v>257</v>
      </c>
      <c r="H3822" s="831"/>
      <c r="I3822" s="831"/>
      <c r="J3822" s="1085">
        <f>VLOOKUP(B3817,'Mil Cost Premiums for PUCs'!$A$4:$R$285,18,FALSE)</f>
        <v>1.2028750424589598</v>
      </c>
      <c r="K3822" s="832">
        <f>+K3821*J3822</f>
        <v>2335811.5112526244</v>
      </c>
      <c r="L3822" s="833" t="s">
        <v>1614</v>
      </c>
      <c r="M3822"/>
      <c r="N3822" s="50"/>
      <c r="O3822" s="5"/>
      <c r="P3822" s="9"/>
      <c r="Q3822" s="34"/>
      <c r="R3822" s="5"/>
      <c r="S3822" s="35"/>
    </row>
    <row r="3823" spans="1:23" ht="30" customHeight="1" thickBot="1" x14ac:dyDescent="0.4">
      <c r="A3823" s="1240"/>
      <c r="B3823" s="1241"/>
      <c r="C3823" s="1241"/>
      <c r="D3823" s="1241"/>
      <c r="E3823" s="1241"/>
      <c r="F3823" s="1241"/>
      <c r="G3823" s="1241"/>
      <c r="H3823" s="1241"/>
      <c r="I3823" s="1241"/>
      <c r="J3823" s="1241"/>
      <c r="K3823" s="1241"/>
      <c r="L3823" s="1242"/>
      <c r="M3823"/>
      <c r="N3823" s="50"/>
      <c r="O3823" s="5"/>
      <c r="P3823" s="9"/>
      <c r="Q3823" s="34"/>
      <c r="R3823" s="5"/>
      <c r="S3823" s="35"/>
    </row>
    <row r="3824" spans="1:23" ht="30" customHeight="1" x14ac:dyDescent="0.35">
      <c r="A3824" s="455" t="s">
        <v>1</v>
      </c>
      <c r="B3824" s="439">
        <v>8121</v>
      </c>
      <c r="C3824" s="1396" t="s">
        <v>1624</v>
      </c>
      <c r="D3824" s="1397"/>
      <c r="E3824" s="456" t="s">
        <v>3</v>
      </c>
      <c r="F3824" s="457" t="s">
        <v>28</v>
      </c>
      <c r="G3824" s="468" t="s">
        <v>38</v>
      </c>
      <c r="H3824" s="356">
        <v>35706.283159062099</v>
      </c>
      <c r="I3824" s="456" t="s">
        <v>5</v>
      </c>
      <c r="J3824" s="1207" t="s">
        <v>2538</v>
      </c>
      <c r="K3824" s="1207"/>
      <c r="L3824" s="1208"/>
      <c r="M3824" s="96"/>
      <c r="N3824" s="50"/>
      <c r="O3824" s="5"/>
      <c r="P3824" s="9"/>
      <c r="Q3824" s="34"/>
      <c r="R3824" s="5"/>
      <c r="S3824" s="35"/>
    </row>
    <row r="3825" spans="1:19" ht="30" customHeight="1" x14ac:dyDescent="0.35">
      <c r="A3825" s="185" t="s">
        <v>177</v>
      </c>
      <c r="B3825" s="1272" t="s">
        <v>7</v>
      </c>
      <c r="C3825" s="1272"/>
      <c r="D3825" s="1272"/>
      <c r="E3825" s="397" t="s">
        <v>52</v>
      </c>
      <c r="F3825" s="185" t="s">
        <v>178</v>
      </c>
      <c r="G3825" s="1292" t="s">
        <v>54</v>
      </c>
      <c r="H3825" s="1293"/>
      <c r="I3825" s="1221" t="s">
        <v>179</v>
      </c>
      <c r="J3825" s="1222"/>
      <c r="K3825" s="399" t="s">
        <v>180</v>
      </c>
      <c r="L3825" s="400"/>
      <c r="M3825" s="96"/>
      <c r="N3825" s="50"/>
      <c r="O3825" s="5"/>
      <c r="P3825" s="9"/>
      <c r="Q3825" s="34"/>
      <c r="R3825" s="5"/>
      <c r="S3825" s="35"/>
    </row>
    <row r="3826" spans="1:19" ht="30" customHeight="1" x14ac:dyDescent="0.35">
      <c r="A3826" s="186">
        <v>81241</v>
      </c>
      <c r="B3826" s="1212" t="s">
        <v>1625</v>
      </c>
      <c r="C3826" s="1213"/>
      <c r="D3826" s="1214"/>
      <c r="E3826" s="194">
        <v>94878.31</v>
      </c>
      <c r="F3826" s="203">
        <v>1000</v>
      </c>
      <c r="G3826" s="127">
        <v>1000</v>
      </c>
      <c r="H3826" s="136" t="s">
        <v>1626</v>
      </c>
      <c r="I3826" s="1307">
        <f>+'FY2024 MILCON Inflation Table'!F22</f>
        <v>0.95834826759383673</v>
      </c>
      <c r="J3826" s="1308"/>
      <c r="K3826" s="199">
        <f>+E3826/G3826*I3826</f>
        <v>90.92646402073099</v>
      </c>
      <c r="L3826" s="401" t="s">
        <v>28</v>
      </c>
      <c r="M3826" s="50"/>
      <c r="N3826" s="50"/>
    </row>
    <row r="3827" spans="1:19" ht="30" customHeight="1" x14ac:dyDescent="0.35">
      <c r="A3827" s="186">
        <v>81241</v>
      </c>
      <c r="B3827" s="1212" t="s">
        <v>1627</v>
      </c>
      <c r="C3827" s="1213"/>
      <c r="D3827" s="1214"/>
      <c r="E3827" s="194">
        <v>118212.35</v>
      </c>
      <c r="F3827" s="203">
        <v>1000</v>
      </c>
      <c r="G3827" s="127">
        <v>1000</v>
      </c>
      <c r="H3827" s="136" t="s">
        <v>1626</v>
      </c>
      <c r="I3827" s="1307">
        <f>+I3826</f>
        <v>0.95834826759383673</v>
      </c>
      <c r="J3827" s="1308"/>
      <c r="K3827" s="199">
        <f>+E3827/G3827*I3827</f>
        <v>113.28860083069628</v>
      </c>
      <c r="L3827" s="401" t="s">
        <v>28</v>
      </c>
      <c r="M3827" s="50"/>
      <c r="N3827" s="50"/>
      <c r="O3827" s="5"/>
      <c r="P3827" s="9"/>
      <c r="Q3827" s="34"/>
      <c r="R3827" s="5"/>
      <c r="S3827" s="35"/>
    </row>
    <row r="3828" spans="1:19" ht="30" customHeight="1" x14ac:dyDescent="0.35">
      <c r="A3828" s="186"/>
      <c r="B3828" s="373"/>
      <c r="C3828" s="374"/>
      <c r="D3828" s="375"/>
      <c r="E3828" s="129"/>
      <c r="F3828" s="143"/>
      <c r="G3828" s="716"/>
      <c r="H3828" s="136"/>
      <c r="I3828" s="915"/>
      <c r="J3828" s="714" t="s">
        <v>192</v>
      </c>
      <c r="K3828" s="199">
        <f>AVERAGE(K3826:K3827)</f>
        <v>102.10753242571363</v>
      </c>
      <c r="L3828" s="186" t="s">
        <v>28</v>
      </c>
      <c r="M3828" s="50"/>
      <c r="N3828" s="50"/>
      <c r="O3828" s="5"/>
      <c r="P3828" s="9"/>
      <c r="Q3828" s="34"/>
      <c r="R3828" s="5"/>
      <c r="S3828" s="35"/>
    </row>
    <row r="3829" spans="1:19" ht="30" customHeight="1" thickBot="1" x14ac:dyDescent="0.4">
      <c r="A3829" s="186"/>
      <c r="B3829" s="1202"/>
      <c r="C3829" s="1203"/>
      <c r="D3829" s="1204"/>
      <c r="E3829" s="520"/>
      <c r="F3829" s="784"/>
      <c r="G3829" s="520"/>
      <c r="H3829" s="750"/>
      <c r="I3829" s="503"/>
      <c r="J3829" s="494" t="s">
        <v>37</v>
      </c>
      <c r="K3829" s="190">
        <f>+K3828</f>
        <v>102.10753242571363</v>
      </c>
      <c r="L3829" s="401" t="s">
        <v>28</v>
      </c>
      <c r="M3829" s="50"/>
      <c r="N3829" s="50"/>
      <c r="O3829" s="5"/>
      <c r="P3829" s="9"/>
      <c r="Q3829" s="34"/>
      <c r="R3829" s="5"/>
      <c r="S3829" s="35"/>
    </row>
    <row r="3830" spans="1:19" ht="30" customHeight="1" thickBot="1" x14ac:dyDescent="0.4">
      <c r="A3830" s="1199"/>
      <c r="B3830" s="1200"/>
      <c r="C3830" s="1200"/>
      <c r="D3830" s="1200"/>
      <c r="E3830" s="1200"/>
      <c r="F3830" s="1200"/>
      <c r="G3830" s="1200"/>
      <c r="H3830" s="1200"/>
      <c r="I3830" s="1200"/>
      <c r="J3830" s="1200"/>
      <c r="K3830" s="1200"/>
      <c r="L3830" s="1201"/>
      <c r="M3830" s="50"/>
      <c r="N3830" s="50"/>
      <c r="O3830" s="5"/>
      <c r="P3830" s="9"/>
      <c r="Q3830" s="34"/>
      <c r="R3830" s="5"/>
      <c r="S3830" s="35"/>
    </row>
    <row r="3831" spans="1:19" ht="30" customHeight="1" x14ac:dyDescent="0.35">
      <c r="A3831" s="455" t="s">
        <v>1</v>
      </c>
      <c r="B3831" s="389">
        <v>8122</v>
      </c>
      <c r="C3831" s="453" t="s">
        <v>1628</v>
      </c>
      <c r="D3831" s="562"/>
      <c r="E3831" s="456" t="s">
        <v>3</v>
      </c>
      <c r="F3831" s="457" t="s">
        <v>40</v>
      </c>
      <c r="G3831" s="520" t="s">
        <v>2</v>
      </c>
      <c r="H3831" s="721">
        <v>1</v>
      </c>
      <c r="I3831" s="456" t="s">
        <v>5</v>
      </c>
      <c r="J3831" s="1207" t="s">
        <v>2538</v>
      </c>
      <c r="K3831" s="1207"/>
      <c r="L3831" s="1208"/>
      <c r="M3831" s="96"/>
      <c r="N3831" s="50"/>
      <c r="O3831" s="5"/>
      <c r="P3831" s="9"/>
      <c r="Q3831" s="34"/>
      <c r="R3831" s="5"/>
      <c r="S3831" s="35"/>
    </row>
    <row r="3832" spans="1:19" ht="30" customHeight="1" x14ac:dyDescent="0.35">
      <c r="A3832" s="185" t="s">
        <v>177</v>
      </c>
      <c r="B3832" s="1272" t="s">
        <v>7</v>
      </c>
      <c r="C3832" s="1272"/>
      <c r="D3832" s="1272"/>
      <c r="E3832" s="397" t="s">
        <v>52</v>
      </c>
      <c r="F3832" s="185" t="s">
        <v>178</v>
      </c>
      <c r="G3832" s="1292" t="s">
        <v>54</v>
      </c>
      <c r="H3832" s="1293"/>
      <c r="I3832" s="1221" t="s">
        <v>179</v>
      </c>
      <c r="J3832" s="1222"/>
      <c r="K3832" s="399" t="s">
        <v>180</v>
      </c>
      <c r="L3832" s="400"/>
      <c r="M3832" s="96"/>
      <c r="N3832" s="50"/>
      <c r="O3832" s="5"/>
      <c r="P3832" s="9"/>
      <c r="Q3832" s="34"/>
      <c r="R3832" s="5"/>
      <c r="S3832" s="35"/>
    </row>
    <row r="3833" spans="1:19" ht="30" customHeight="1" x14ac:dyDescent="0.35">
      <c r="A3833" s="186">
        <v>81230</v>
      </c>
      <c r="B3833" s="1212" t="s">
        <v>2589</v>
      </c>
      <c r="C3833" s="1213"/>
      <c r="D3833" s="1214"/>
      <c r="E3833" s="194">
        <v>9352.2999999999993</v>
      </c>
      <c r="F3833" s="203">
        <v>1</v>
      </c>
      <c r="G3833" s="127"/>
      <c r="H3833" s="136"/>
      <c r="I3833" s="1307">
        <f>+'FY2024 MILCON Inflation Table'!F22</f>
        <v>0.95834826759383673</v>
      </c>
      <c r="J3833" s="1308"/>
      <c r="K3833" s="199">
        <f>+E3833*I3833</f>
        <v>8962.7605030178383</v>
      </c>
      <c r="L3833" s="401" t="s">
        <v>28</v>
      </c>
      <c r="M3833" s="50"/>
      <c r="N3833" s="50"/>
      <c r="O3833" s="5"/>
      <c r="P3833" s="9"/>
      <c r="Q3833" s="34"/>
      <c r="R3833" s="5"/>
      <c r="S3833" s="35"/>
    </row>
    <row r="3834" spans="1:19" ht="30" customHeight="1" x14ac:dyDescent="0.35">
      <c r="A3834" s="186">
        <v>81230</v>
      </c>
      <c r="B3834" s="1212" t="s">
        <v>2590</v>
      </c>
      <c r="C3834" s="1213"/>
      <c r="D3834" s="1214"/>
      <c r="E3834" s="194">
        <v>16560.689999999999</v>
      </c>
      <c r="F3834" s="203">
        <v>1</v>
      </c>
      <c r="G3834" s="127"/>
      <c r="H3834" s="136"/>
      <c r="I3834" s="1307">
        <f>+I3833</f>
        <v>0.95834826759383673</v>
      </c>
      <c r="J3834" s="1308"/>
      <c r="K3834" s="199">
        <f>+E3834*I3834</f>
        <v>15870.908571658574</v>
      </c>
      <c r="L3834" s="401" t="s">
        <v>28</v>
      </c>
      <c r="M3834" s="50"/>
      <c r="N3834" s="50"/>
      <c r="O3834" s="5"/>
      <c r="P3834" s="9"/>
      <c r="Q3834" s="34"/>
      <c r="R3834" s="5"/>
      <c r="S3834" s="35"/>
    </row>
    <row r="3835" spans="1:19" ht="30" customHeight="1" x14ac:dyDescent="0.35">
      <c r="A3835" s="186"/>
      <c r="B3835" s="373"/>
      <c r="C3835" s="374"/>
      <c r="D3835" s="375"/>
      <c r="E3835" s="129"/>
      <c r="F3835" s="143"/>
      <c r="G3835" s="716"/>
      <c r="H3835" s="136"/>
      <c r="I3835" s="915"/>
      <c r="J3835" s="714" t="s">
        <v>192</v>
      </c>
      <c r="K3835" s="199">
        <f>AVERAGE(K3833:K3834)</f>
        <v>12416.834537338207</v>
      </c>
      <c r="L3835" s="186" t="s">
        <v>28</v>
      </c>
      <c r="M3835" s="50"/>
      <c r="N3835" s="50"/>
      <c r="O3835" s="5"/>
      <c r="P3835" s="9"/>
      <c r="Q3835" s="34"/>
      <c r="R3835" s="5"/>
      <c r="S3835" s="35"/>
    </row>
    <row r="3836" spans="1:19" ht="30" customHeight="1" thickBot="1" x14ac:dyDescent="0.4">
      <c r="A3836" s="186"/>
      <c r="B3836" s="1202"/>
      <c r="C3836" s="1203"/>
      <c r="D3836" s="1204"/>
      <c r="E3836" s="520"/>
      <c r="F3836" s="784"/>
      <c r="G3836" s="520"/>
      <c r="H3836" s="750"/>
      <c r="I3836" s="503"/>
      <c r="J3836" s="494" t="s">
        <v>37</v>
      </c>
      <c r="K3836" s="190">
        <f>+K3835</f>
        <v>12416.834537338207</v>
      </c>
      <c r="L3836" s="401" t="s">
        <v>28</v>
      </c>
      <c r="M3836" s="50"/>
      <c r="N3836" s="50"/>
      <c r="O3836" s="5"/>
      <c r="P3836" s="9"/>
      <c r="Q3836" s="34"/>
      <c r="R3836" s="5"/>
      <c r="S3836" s="35"/>
    </row>
    <row r="3837" spans="1:19" ht="30" customHeight="1" thickBot="1" x14ac:dyDescent="0.4">
      <c r="A3837" s="1199"/>
      <c r="B3837" s="1200"/>
      <c r="C3837" s="1200"/>
      <c r="D3837" s="1200"/>
      <c r="E3837" s="1200"/>
      <c r="F3837" s="1200"/>
      <c r="G3837" s="1200"/>
      <c r="H3837" s="1200"/>
      <c r="I3837" s="1200"/>
      <c r="J3837" s="1200"/>
      <c r="K3837" s="1200"/>
      <c r="L3837" s="1201"/>
      <c r="N3837" s="50"/>
      <c r="O3837" s="5"/>
      <c r="P3837" s="9"/>
      <c r="Q3837" s="34"/>
      <c r="R3837" s="5"/>
      <c r="S3837" s="35"/>
    </row>
    <row r="3838" spans="1:19" ht="30" customHeight="1" x14ac:dyDescent="0.35">
      <c r="A3838" s="388" t="s">
        <v>1</v>
      </c>
      <c r="B3838" s="389">
        <v>8123</v>
      </c>
      <c r="C3838" s="1290" t="s">
        <v>1629</v>
      </c>
      <c r="D3838" s="1291"/>
      <c r="E3838" s="392" t="s">
        <v>3</v>
      </c>
      <c r="F3838" s="393" t="s">
        <v>28</v>
      </c>
      <c r="G3838" s="390" t="s">
        <v>38</v>
      </c>
      <c r="H3838" s="135">
        <v>21181</v>
      </c>
      <c r="I3838" s="392" t="s">
        <v>5</v>
      </c>
      <c r="J3838" s="1207" t="s">
        <v>2538</v>
      </c>
      <c r="K3838" s="1207"/>
      <c r="L3838" s="1208"/>
      <c r="M3838" s="96"/>
      <c r="N3838" s="50"/>
      <c r="O3838" s="5"/>
      <c r="P3838" s="9"/>
      <c r="Q3838" s="34"/>
      <c r="R3838" s="5"/>
      <c r="S3838" s="35"/>
    </row>
    <row r="3839" spans="1:19" ht="30" customHeight="1" x14ac:dyDescent="0.35">
      <c r="A3839" s="185" t="s">
        <v>177</v>
      </c>
      <c r="B3839" s="1272" t="s">
        <v>7</v>
      </c>
      <c r="C3839" s="1272"/>
      <c r="D3839" s="1272"/>
      <c r="E3839" s="397" t="s">
        <v>1630</v>
      </c>
      <c r="F3839" s="185" t="s">
        <v>178</v>
      </c>
      <c r="G3839" s="1292" t="s">
        <v>54</v>
      </c>
      <c r="H3839" s="1293"/>
      <c r="I3839" s="1221" t="s">
        <v>351</v>
      </c>
      <c r="J3839" s="1222"/>
      <c r="K3839" s="399" t="s">
        <v>180</v>
      </c>
      <c r="L3839" s="400"/>
      <c r="M3839" s="96"/>
      <c r="N3839" s="50"/>
      <c r="O3839" s="5"/>
      <c r="P3839" s="9"/>
      <c r="Q3839" s="34"/>
      <c r="R3839" s="5"/>
      <c r="S3839" s="35"/>
    </row>
    <row r="3840" spans="1:19" ht="30" customHeight="1" x14ac:dyDescent="0.35">
      <c r="A3840" s="186">
        <v>81242</v>
      </c>
      <c r="B3840" s="1212" t="s">
        <v>1631</v>
      </c>
      <c r="C3840" s="1213"/>
      <c r="D3840" s="1214"/>
      <c r="E3840" s="194">
        <v>55.25</v>
      </c>
      <c r="F3840" s="223">
        <v>1</v>
      </c>
      <c r="G3840" s="788"/>
      <c r="H3840" s="136"/>
      <c r="I3840" s="1307">
        <f>+'FY2024 MILCON Inflation Table'!F22</f>
        <v>0.95834826759383673</v>
      </c>
      <c r="J3840" s="1308"/>
      <c r="K3840" s="199">
        <f>+E3840*I3840</f>
        <v>52.948741784559481</v>
      </c>
      <c r="L3840" s="186" t="s">
        <v>28</v>
      </c>
      <c r="M3840" s="50"/>
      <c r="N3840" s="50"/>
      <c r="O3840" s="5"/>
      <c r="P3840" s="9"/>
      <c r="Q3840" s="34"/>
      <c r="R3840" s="5"/>
      <c r="S3840" s="35"/>
    </row>
    <row r="3841" spans="1:19" ht="30" customHeight="1" x14ac:dyDescent="0.35">
      <c r="A3841" s="186">
        <v>81242</v>
      </c>
      <c r="B3841" s="1212" t="s">
        <v>1632</v>
      </c>
      <c r="C3841" s="1213"/>
      <c r="D3841" s="1214"/>
      <c r="E3841" s="351">
        <v>63.06</v>
      </c>
      <c r="F3841" s="203">
        <v>1</v>
      </c>
      <c r="G3841" s="709"/>
      <c r="H3841" s="136"/>
      <c r="I3841" s="1307">
        <f>+I3840</f>
        <v>0.95834826759383673</v>
      </c>
      <c r="J3841" s="1308"/>
      <c r="K3841" s="199">
        <f>+E3841*I3841</f>
        <v>60.433441754467346</v>
      </c>
      <c r="L3841" s="186" t="s">
        <v>28</v>
      </c>
      <c r="M3841" s="50"/>
      <c r="N3841" s="50"/>
    </row>
    <row r="3842" spans="1:19" ht="30" customHeight="1" x14ac:dyDescent="0.35">
      <c r="A3842" s="186">
        <v>81242</v>
      </c>
      <c r="B3842" s="1212" t="s">
        <v>1633</v>
      </c>
      <c r="C3842" s="1213"/>
      <c r="D3842" s="1214"/>
      <c r="E3842" s="351">
        <v>365.8</v>
      </c>
      <c r="F3842" s="203">
        <v>1</v>
      </c>
      <c r="G3842" s="127"/>
      <c r="H3842" s="136"/>
      <c r="I3842" s="1307">
        <f>+I3840</f>
        <v>0.95834826759383673</v>
      </c>
      <c r="J3842" s="1308"/>
      <c r="K3842" s="199">
        <f>+E3842*I3842</f>
        <v>350.5637962858255</v>
      </c>
      <c r="L3842" s="186" t="s">
        <v>28</v>
      </c>
      <c r="M3842" s="50"/>
      <c r="N3842" s="50"/>
      <c r="O3842" s="5"/>
      <c r="P3842" s="9"/>
      <c r="Q3842" s="34"/>
      <c r="R3842" s="5"/>
      <c r="S3842" s="35"/>
    </row>
    <row r="3843" spans="1:19" ht="30" customHeight="1" x14ac:dyDescent="0.35">
      <c r="A3843" s="186">
        <v>81242</v>
      </c>
      <c r="B3843" s="1212" t="s">
        <v>2591</v>
      </c>
      <c r="C3843" s="1213"/>
      <c r="D3843" s="1214"/>
      <c r="E3843" s="193">
        <v>302.76</v>
      </c>
      <c r="F3843" s="203">
        <v>1</v>
      </c>
      <c r="G3843" s="127"/>
      <c r="H3843" s="136"/>
      <c r="I3843" s="1307">
        <f>+I3840</f>
        <v>0.95834826759383673</v>
      </c>
      <c r="J3843" s="1308"/>
      <c r="K3843" s="199">
        <f>+E3843*I3843</f>
        <v>290.14952149671001</v>
      </c>
      <c r="L3843" s="186" t="s">
        <v>28</v>
      </c>
      <c r="M3843" s="50"/>
      <c r="N3843" s="50"/>
      <c r="O3843" s="5"/>
      <c r="P3843" s="9"/>
      <c r="Q3843" s="34"/>
      <c r="R3843" s="5"/>
      <c r="S3843" s="35"/>
    </row>
    <row r="3844" spans="1:19" ht="30" customHeight="1" x14ac:dyDescent="0.35">
      <c r="A3844" s="186">
        <v>81242</v>
      </c>
      <c r="B3844" s="1212" t="s">
        <v>1633</v>
      </c>
      <c r="C3844" s="1213"/>
      <c r="D3844" s="1214"/>
      <c r="E3844" s="193">
        <v>365.8</v>
      </c>
      <c r="F3844" s="203">
        <v>1</v>
      </c>
      <c r="G3844" s="127"/>
      <c r="H3844" s="136"/>
      <c r="I3844" s="1307">
        <f>+I3840</f>
        <v>0.95834826759383673</v>
      </c>
      <c r="J3844" s="1308"/>
      <c r="K3844" s="199">
        <f>+E3844*I3844</f>
        <v>350.5637962858255</v>
      </c>
      <c r="L3844" s="186" t="s">
        <v>28</v>
      </c>
      <c r="M3844" s="50"/>
      <c r="O3844" s="5"/>
      <c r="P3844" s="9"/>
      <c r="Q3844" s="34"/>
      <c r="R3844" s="5"/>
      <c r="S3844" s="35"/>
    </row>
    <row r="3845" spans="1:19" ht="30" customHeight="1" x14ac:dyDescent="0.35">
      <c r="A3845" s="186"/>
      <c r="B3845" s="1202"/>
      <c r="C3845" s="1203"/>
      <c r="D3845" s="1204"/>
      <c r="E3845" s="139"/>
      <c r="F3845" s="152"/>
      <c r="G3845" s="716"/>
      <c r="H3845" s="136"/>
      <c r="I3845" s="751"/>
      <c r="J3845" s="736" t="s">
        <v>192</v>
      </c>
      <c r="K3845" s="199">
        <f>AVERAGE(K3840:K3844)</f>
        <v>220.93185952147755</v>
      </c>
      <c r="L3845" s="186" t="s">
        <v>28</v>
      </c>
      <c r="M3845" s="50"/>
      <c r="N3845" s="50"/>
      <c r="O3845" s="5"/>
      <c r="P3845" s="9"/>
      <c r="Q3845" s="34"/>
      <c r="R3845" s="5"/>
      <c r="S3845" s="35"/>
    </row>
    <row r="3846" spans="1:19" ht="30" customHeight="1" thickBot="1" x14ac:dyDescent="0.4">
      <c r="A3846" s="186"/>
      <c r="B3846" s="1265"/>
      <c r="C3846" s="1265"/>
      <c r="D3846" s="1265"/>
      <c r="E3846" s="520"/>
      <c r="F3846" s="784"/>
      <c r="G3846" s="520"/>
      <c r="H3846" s="750"/>
      <c r="I3846" s="503"/>
      <c r="J3846" s="494" t="s">
        <v>37</v>
      </c>
      <c r="K3846" s="199">
        <f>+K3845</f>
        <v>220.93185952147755</v>
      </c>
      <c r="L3846" s="186" t="s">
        <v>28</v>
      </c>
      <c r="M3846" s="50"/>
      <c r="N3846" s="50"/>
      <c r="O3846" s="5"/>
      <c r="P3846" s="9"/>
      <c r="Q3846" s="34"/>
      <c r="R3846" s="5"/>
      <c r="S3846" s="35"/>
    </row>
    <row r="3847" spans="1:19" ht="30" customHeight="1" thickBot="1" x14ac:dyDescent="0.4">
      <c r="A3847" s="1199"/>
      <c r="B3847" s="1200"/>
      <c r="C3847" s="1200"/>
      <c r="D3847" s="1200"/>
      <c r="E3847" s="1200"/>
      <c r="F3847" s="1200"/>
      <c r="G3847" s="1200"/>
      <c r="H3847" s="1200"/>
      <c r="I3847" s="1200"/>
      <c r="J3847" s="1200"/>
      <c r="K3847" s="1200"/>
      <c r="L3847" s="1201"/>
      <c r="M3847" s="50"/>
      <c r="N3847" s="50"/>
      <c r="O3847" s="5"/>
      <c r="P3847" s="9"/>
      <c r="Q3847" s="34"/>
      <c r="R3847" s="5"/>
      <c r="S3847" s="35"/>
    </row>
    <row r="3848" spans="1:19" ht="30" customHeight="1" x14ac:dyDescent="0.35">
      <c r="A3848" s="571" t="s">
        <v>1</v>
      </c>
      <c r="B3848" s="571">
        <v>8124</v>
      </c>
      <c r="C3848" s="1581" t="s">
        <v>1634</v>
      </c>
      <c r="D3848" s="1581"/>
      <c r="E3848" s="401" t="s">
        <v>3</v>
      </c>
      <c r="F3848" s="655" t="s">
        <v>1603</v>
      </c>
      <c r="G3848" s="513" t="s">
        <v>38</v>
      </c>
      <c r="H3848" s="1099">
        <v>110</v>
      </c>
      <c r="I3848" s="392" t="s">
        <v>5</v>
      </c>
      <c r="J3848" s="1207" t="s">
        <v>2916</v>
      </c>
      <c r="K3848" s="1207"/>
      <c r="L3848" s="1208"/>
      <c r="M3848" s="50"/>
      <c r="N3848" s="50"/>
      <c r="O3848" s="5"/>
      <c r="P3848" s="9"/>
      <c r="Q3848" s="34"/>
      <c r="R3848" s="5"/>
      <c r="S3848" s="35"/>
    </row>
    <row r="3849" spans="1:19" ht="30" customHeight="1" x14ac:dyDescent="0.35">
      <c r="A3849" s="494" t="s">
        <v>1635</v>
      </c>
      <c r="B3849" s="1280" t="s">
        <v>1636</v>
      </c>
      <c r="C3849" s="1281"/>
      <c r="D3849" s="1282"/>
      <c r="E3849" s="1024" t="s">
        <v>1637</v>
      </c>
      <c r="F3849" s="566" t="s">
        <v>1638</v>
      </c>
      <c r="G3849" s="632" t="s">
        <v>1639</v>
      </c>
      <c r="H3849" s="632" t="s">
        <v>1640</v>
      </c>
      <c r="I3849" s="878" t="s">
        <v>1641</v>
      </c>
      <c r="J3849" s="185" t="s">
        <v>351</v>
      </c>
      <c r="K3849" s="1209" t="s">
        <v>180</v>
      </c>
      <c r="L3849" s="1210"/>
      <c r="M3849" s="50"/>
      <c r="N3849" s="50"/>
      <c r="O3849" s="5"/>
      <c r="P3849" s="9"/>
      <c r="Q3849" s="34"/>
      <c r="R3849" s="5"/>
      <c r="S3849" s="35"/>
    </row>
    <row r="3850" spans="1:19" ht="30" customHeight="1" x14ac:dyDescent="0.35">
      <c r="A3850" s="186" t="s">
        <v>1642</v>
      </c>
      <c r="B3850" s="1501" t="s">
        <v>2917</v>
      </c>
      <c r="C3850" s="1501"/>
      <c r="D3850" s="1501"/>
      <c r="E3850" s="194" t="s">
        <v>1643</v>
      </c>
      <c r="F3850" s="186">
        <v>1.4</v>
      </c>
      <c r="G3850" s="194">
        <v>813</v>
      </c>
      <c r="H3850" s="194">
        <v>2836</v>
      </c>
      <c r="I3850" s="266">
        <f>+(G3850+H3850)/F3850</f>
        <v>2606.4285714285716</v>
      </c>
      <c r="J3850" s="835">
        <f>+'FY2024 MILCON Inflation Table'!F15</f>
        <v>1.3402943931789864</v>
      </c>
      <c r="K3850" s="1100" t="s">
        <v>1644</v>
      </c>
      <c r="L3850" s="186"/>
      <c r="M3850" s="50"/>
      <c r="N3850" s="50"/>
      <c r="O3850" s="5"/>
      <c r="P3850" s="9"/>
      <c r="Q3850" s="34"/>
      <c r="R3850" s="5"/>
      <c r="S3850" s="35"/>
    </row>
    <row r="3851" spans="1:19" ht="30" customHeight="1" x14ac:dyDescent="0.35">
      <c r="A3851" s="186" t="s">
        <v>1642</v>
      </c>
      <c r="B3851" s="1501" t="s">
        <v>2917</v>
      </c>
      <c r="C3851" s="1501"/>
      <c r="D3851" s="1501"/>
      <c r="E3851" s="194" t="s">
        <v>1645</v>
      </c>
      <c r="F3851" s="186">
        <v>1.4</v>
      </c>
      <c r="G3851" s="128">
        <v>596</v>
      </c>
      <c r="H3851" s="194">
        <v>3020</v>
      </c>
      <c r="I3851" s="266">
        <f t="shared" ref="I3851:I3860" si="63">+(G3851+H3851)/F3851</f>
        <v>2582.8571428571431</v>
      </c>
      <c r="J3851" s="835">
        <f>+J3850</f>
        <v>1.3402943931789864</v>
      </c>
      <c r="K3851" s="1101">
        <f>+(I3850*J3850+I3851*J3851)/2</f>
        <v>3477.5852737304772</v>
      </c>
      <c r="L3851" s="186" t="s">
        <v>1603</v>
      </c>
      <c r="M3851" s="50"/>
      <c r="N3851" s="50"/>
      <c r="O3851" s="5"/>
      <c r="P3851" s="9"/>
      <c r="Q3851" s="34"/>
      <c r="R3851" s="5"/>
      <c r="S3851" s="35"/>
    </row>
    <row r="3852" spans="1:19" ht="30" customHeight="1" x14ac:dyDescent="0.35">
      <c r="A3852" s="186" t="s">
        <v>1646</v>
      </c>
      <c r="B3852" s="1501" t="s">
        <v>2917</v>
      </c>
      <c r="C3852" s="1501"/>
      <c r="D3852" s="1501"/>
      <c r="E3852" s="194" t="s">
        <v>1643</v>
      </c>
      <c r="F3852" s="186">
        <v>6.6</v>
      </c>
      <c r="G3852" s="128">
        <v>1182</v>
      </c>
      <c r="H3852" s="194">
        <v>3090</v>
      </c>
      <c r="I3852" s="266">
        <f t="shared" si="63"/>
        <v>647.27272727272725</v>
      </c>
      <c r="J3852" s="835">
        <f>+J3850</f>
        <v>1.3402943931789864</v>
      </c>
      <c r="K3852" s="1100"/>
      <c r="L3852" s="186"/>
      <c r="M3852" s="50"/>
      <c r="N3852" s="50"/>
      <c r="O3852" s="5"/>
      <c r="P3852" s="9"/>
      <c r="Q3852" s="34"/>
      <c r="R3852" s="5"/>
      <c r="S3852" s="35"/>
    </row>
    <row r="3853" spans="1:19" ht="30" customHeight="1" x14ac:dyDescent="0.35">
      <c r="A3853" s="186" t="s">
        <v>1646</v>
      </c>
      <c r="B3853" s="1501" t="s">
        <v>2917</v>
      </c>
      <c r="C3853" s="1501"/>
      <c r="D3853" s="1501"/>
      <c r="E3853" s="194" t="s">
        <v>1645</v>
      </c>
      <c r="F3853" s="186">
        <v>6.6</v>
      </c>
      <c r="G3853" s="128">
        <v>938</v>
      </c>
      <c r="H3853" s="194">
        <v>3090</v>
      </c>
      <c r="I3853" s="266">
        <f t="shared" si="63"/>
        <v>610.30303030303037</v>
      </c>
      <c r="J3853" s="835">
        <f>+J3850</f>
        <v>1.3402943931789864</v>
      </c>
      <c r="K3853" s="1100"/>
      <c r="L3853" s="186"/>
      <c r="M3853" s="50"/>
      <c r="O3853" s="5"/>
      <c r="P3853" s="9"/>
      <c r="Q3853" s="34"/>
      <c r="R3853" s="5"/>
      <c r="S3853" s="35"/>
    </row>
    <row r="3854" spans="1:19" ht="30" customHeight="1" x14ac:dyDescent="0.35">
      <c r="A3854" s="186" t="s">
        <v>1646</v>
      </c>
      <c r="B3854" s="1501" t="s">
        <v>2918</v>
      </c>
      <c r="C3854" s="1501"/>
      <c r="D3854" s="1501"/>
      <c r="E3854" s="194" t="s">
        <v>1643</v>
      </c>
      <c r="F3854" s="186">
        <v>6.6</v>
      </c>
      <c r="G3854" s="128">
        <v>3127</v>
      </c>
      <c r="H3854" s="194">
        <v>3090</v>
      </c>
      <c r="I3854" s="266">
        <f t="shared" si="63"/>
        <v>941.969696969697</v>
      </c>
      <c r="J3854" s="835">
        <f>+J3850</f>
        <v>1.3402943931789864</v>
      </c>
      <c r="K3854" s="1100" t="s">
        <v>1647</v>
      </c>
      <c r="L3854" s="186"/>
      <c r="M3854" s="50"/>
      <c r="N3854" s="50"/>
      <c r="O3854" s="5"/>
      <c r="P3854" s="9"/>
      <c r="Q3854" s="34"/>
      <c r="R3854" s="5"/>
      <c r="S3854" s="35"/>
    </row>
    <row r="3855" spans="1:19" ht="30" customHeight="1" x14ac:dyDescent="0.35">
      <c r="A3855" s="186" t="s">
        <v>1646</v>
      </c>
      <c r="B3855" s="1501" t="s">
        <v>2918</v>
      </c>
      <c r="C3855" s="1501"/>
      <c r="D3855" s="1501"/>
      <c r="E3855" s="194" t="s">
        <v>1645</v>
      </c>
      <c r="F3855" s="186">
        <v>6.6</v>
      </c>
      <c r="G3855" s="128">
        <v>2793</v>
      </c>
      <c r="H3855" s="194">
        <v>3090</v>
      </c>
      <c r="I3855" s="266">
        <f>+(G3855+H3855)/F3855</f>
        <v>891.36363636363637</v>
      </c>
      <c r="J3855" s="835">
        <f>+J3850</f>
        <v>1.3402943931789864</v>
      </c>
      <c r="K3855" s="1101">
        <f>+(((I3852*J3852+I3853*J3853+I3854*J3854+I3855*J3855)/4)+(I3856*J3856))/2</f>
        <v>1544.7476491419693</v>
      </c>
      <c r="L3855" s="186" t="s">
        <v>1603</v>
      </c>
      <c r="M3855" s="50"/>
      <c r="N3855" s="50"/>
      <c r="O3855" s="5"/>
      <c r="P3855" s="9"/>
      <c r="Q3855" s="34"/>
      <c r="R3855" s="5"/>
      <c r="S3855" s="35"/>
    </row>
    <row r="3856" spans="1:19" ht="30" customHeight="1" x14ac:dyDescent="0.35">
      <c r="A3856" s="271" t="s">
        <v>1646</v>
      </c>
      <c r="B3856" s="1501" t="s">
        <v>2914</v>
      </c>
      <c r="C3856" s="1501"/>
      <c r="D3856" s="1501"/>
      <c r="E3856" s="194" t="s">
        <v>1645</v>
      </c>
      <c r="F3856" s="271">
        <f>+(7+10)/2</f>
        <v>8.5</v>
      </c>
      <c r="G3856" s="366">
        <v>5991</v>
      </c>
      <c r="H3856" s="279">
        <v>8922</v>
      </c>
      <c r="I3856" s="266">
        <f>+(G3856+H3856)/F3856</f>
        <v>1754.4705882352941</v>
      </c>
      <c r="J3856" s="597">
        <f>+'FY2024 MILCON Inflation Table'!F18</f>
        <v>1.1706170972389343</v>
      </c>
      <c r="K3856" s="1102"/>
      <c r="L3856" s="271"/>
      <c r="M3856" s="50"/>
      <c r="N3856" s="50"/>
      <c r="O3856" s="5"/>
      <c r="P3856" s="9"/>
      <c r="Q3856" s="34"/>
      <c r="R3856" s="5"/>
      <c r="S3856" s="35"/>
    </row>
    <row r="3857" spans="1:21" ht="30" customHeight="1" x14ac:dyDescent="0.35">
      <c r="A3857" s="186" t="s">
        <v>2913</v>
      </c>
      <c r="B3857" s="1501" t="s">
        <v>2919</v>
      </c>
      <c r="C3857" s="1501"/>
      <c r="D3857" s="1501"/>
      <c r="E3857" s="194" t="s">
        <v>1643</v>
      </c>
      <c r="F3857" s="186">
        <v>50</v>
      </c>
      <c r="G3857" s="128">
        <v>28401</v>
      </c>
      <c r="H3857" s="194">
        <v>26964</v>
      </c>
      <c r="I3857" s="266">
        <f t="shared" si="63"/>
        <v>1107.3</v>
      </c>
      <c r="J3857" s="835">
        <f>+J3850</f>
        <v>1.3402943931789864</v>
      </c>
      <c r="K3857" s="1100"/>
      <c r="L3857" s="186"/>
      <c r="M3857" s="50"/>
      <c r="N3857" s="50"/>
      <c r="O3857" s="5"/>
      <c r="P3857" s="9"/>
      <c r="Q3857" s="34"/>
      <c r="R3857" s="5"/>
      <c r="S3857" s="35"/>
    </row>
    <row r="3858" spans="1:21" ht="30" customHeight="1" x14ac:dyDescent="0.35">
      <c r="A3858" s="186" t="s">
        <v>2913</v>
      </c>
      <c r="B3858" s="1501" t="s">
        <v>2920</v>
      </c>
      <c r="C3858" s="1501"/>
      <c r="D3858" s="1501"/>
      <c r="E3858" s="194" t="s">
        <v>1643</v>
      </c>
      <c r="F3858" s="186">
        <v>150</v>
      </c>
      <c r="G3858" s="193">
        <v>75000</v>
      </c>
      <c r="H3858" s="194">
        <v>28312</v>
      </c>
      <c r="I3858" s="266">
        <f t="shared" si="63"/>
        <v>688.74666666666667</v>
      </c>
      <c r="J3858" s="835">
        <f>+J3850</f>
        <v>1.3402943931789864</v>
      </c>
      <c r="K3858" s="1100" t="s">
        <v>1648</v>
      </c>
      <c r="L3858" s="186"/>
      <c r="M3858" s="50"/>
      <c r="N3858" s="50"/>
      <c r="O3858" s="5"/>
      <c r="P3858" s="9"/>
      <c r="Q3858" s="34"/>
      <c r="R3858" s="5"/>
      <c r="S3858" s="35"/>
    </row>
    <row r="3859" spans="1:21" ht="30" customHeight="1" x14ac:dyDescent="0.35">
      <c r="A3859" s="186" t="s">
        <v>2913</v>
      </c>
      <c r="B3859" s="1501" t="s">
        <v>2921</v>
      </c>
      <c r="C3859" s="1501"/>
      <c r="D3859" s="1501"/>
      <c r="E3859" s="194" t="s">
        <v>1643</v>
      </c>
      <c r="F3859" s="186">
        <v>350</v>
      </c>
      <c r="G3859" s="193">
        <v>140000</v>
      </c>
      <c r="H3859" s="194">
        <v>39097</v>
      </c>
      <c r="I3859" s="266">
        <f t="shared" si="63"/>
        <v>511.70571428571429</v>
      </c>
      <c r="J3859" s="835">
        <f>+J3850</f>
        <v>1.3402943931789864</v>
      </c>
      <c r="K3859" s="1101">
        <f>+((J3857*I3857+I3858*J3858+I3859*J3859)/3+(I3860*J3860))/2</f>
        <v>1584.4504237118836</v>
      </c>
      <c r="L3859" s="186" t="s">
        <v>1603</v>
      </c>
      <c r="M3859" s="50"/>
      <c r="N3859" s="50"/>
      <c r="O3859" s="5"/>
      <c r="P3859" s="9"/>
      <c r="Q3859" s="34"/>
      <c r="R3859" s="5"/>
      <c r="S3859" s="35"/>
    </row>
    <row r="3860" spans="1:21" ht="30" customHeight="1" x14ac:dyDescent="0.35">
      <c r="A3860" s="186" t="s">
        <v>2913</v>
      </c>
      <c r="B3860" s="1501" t="s">
        <v>2915</v>
      </c>
      <c r="C3860" s="1501"/>
      <c r="D3860" s="1501"/>
      <c r="E3860" s="194" t="s">
        <v>1643</v>
      </c>
      <c r="F3860" s="271">
        <f>(50+63)/2</f>
        <v>56.5</v>
      </c>
      <c r="G3860" s="272">
        <v>37140</v>
      </c>
      <c r="H3860" s="279">
        <v>66045</v>
      </c>
      <c r="I3860" s="266">
        <f t="shared" si="63"/>
        <v>1826.283185840708</v>
      </c>
      <c r="J3860" s="597">
        <f>+'FY2024 MILCON Inflation Table'!F18</f>
        <v>1.1706170972389343</v>
      </c>
      <c r="K3860" s="594"/>
      <c r="L3860" s="271"/>
      <c r="M3860" s="50"/>
      <c r="N3860" s="50"/>
      <c r="O3860" s="5"/>
      <c r="P3860" s="9"/>
      <c r="Q3860" s="34"/>
      <c r="R3860" s="5"/>
      <c r="S3860" s="35"/>
    </row>
    <row r="3861" spans="1:21" ht="30" customHeight="1" x14ac:dyDescent="0.35">
      <c r="A3861" s="186"/>
      <c r="B3861" s="1264"/>
      <c r="C3861" s="1264"/>
      <c r="D3861" s="1264"/>
      <c r="E3861" s="194"/>
      <c r="F3861" s="503"/>
      <c r="G3861" s="503"/>
      <c r="H3861" s="534"/>
      <c r="I3861" s="186"/>
      <c r="J3861" s="186" t="s">
        <v>240</v>
      </c>
      <c r="K3861" s="594">
        <f>+K3851*0.1+K3855*0.75+K3859*0.15</f>
        <v>1743.9868277863075</v>
      </c>
      <c r="L3861" s="186" t="s">
        <v>1603</v>
      </c>
      <c r="M3861" s="50"/>
      <c r="N3861" s="50"/>
      <c r="O3861" s="5"/>
      <c r="P3861" s="9"/>
      <c r="Q3861" s="34"/>
      <c r="R3861" s="5"/>
      <c r="S3861" s="35"/>
    </row>
    <row r="3862" spans="1:21" ht="30" customHeight="1" x14ac:dyDescent="0.35">
      <c r="A3862" s="186"/>
      <c r="B3862" s="1316"/>
      <c r="C3862" s="1317"/>
      <c r="D3862" s="1318"/>
      <c r="E3862" s="503"/>
      <c r="G3862" s="503"/>
      <c r="H3862" s="503"/>
      <c r="I3862" s="538" t="s">
        <v>257</v>
      </c>
      <c r="J3862" s="560">
        <f>VLOOKUP(B3848,'Mil Cost Premiums for PUCs'!$A$4:$R$285,18,FALSE)</f>
        <v>1.0905505199999999</v>
      </c>
      <c r="K3862" s="193">
        <f>+K3861*J3862</f>
        <v>1901.9057419155079</v>
      </c>
      <c r="L3862" s="186" t="s">
        <v>1603</v>
      </c>
      <c r="M3862" s="50"/>
      <c r="N3862" s="50"/>
      <c r="O3862" s="5"/>
      <c r="P3862" s="9"/>
      <c r="Q3862" s="34"/>
      <c r="R3862" s="5"/>
      <c r="S3862" s="35"/>
    </row>
    <row r="3863" spans="1:21" ht="30" customHeight="1" x14ac:dyDescent="0.35">
      <c r="A3863" s="1392" t="s">
        <v>2922</v>
      </c>
      <c r="B3863" s="1393"/>
      <c r="C3863" s="1393"/>
      <c r="D3863" s="1393"/>
      <c r="E3863" s="1393"/>
      <c r="F3863" s="1393"/>
      <c r="G3863" s="1393"/>
      <c r="H3863" s="1322"/>
      <c r="I3863" s="270"/>
      <c r="J3863" s="270"/>
      <c r="K3863" s="270"/>
      <c r="L3863" s="270"/>
      <c r="M3863" s="50"/>
      <c r="N3863" s="50"/>
      <c r="O3863" s="5"/>
      <c r="P3863" s="9"/>
      <c r="Q3863" s="34"/>
      <c r="R3863" s="5"/>
      <c r="S3863" s="35"/>
    </row>
    <row r="3864" spans="1:21" ht="30" customHeight="1" thickBot="1" x14ac:dyDescent="0.4">
      <c r="A3864" s="1323"/>
      <c r="B3864" s="1324"/>
      <c r="C3864" s="1324"/>
      <c r="D3864" s="1324"/>
      <c r="E3864" s="1324"/>
      <c r="F3864" s="1324"/>
      <c r="G3864" s="1324"/>
      <c r="H3864" s="1325"/>
      <c r="I3864" s="1103"/>
      <c r="J3864" s="1103"/>
      <c r="K3864" s="1103"/>
      <c r="L3864" s="1103"/>
      <c r="M3864" s="50"/>
      <c r="N3864" s="50"/>
      <c r="O3864" s="5"/>
      <c r="P3864" s="9"/>
      <c r="Q3864" s="34"/>
      <c r="R3864" s="5"/>
      <c r="S3864" s="35"/>
    </row>
    <row r="3865" spans="1:21" ht="30" customHeight="1" thickBot="1" x14ac:dyDescent="0.4">
      <c r="A3865" s="1199"/>
      <c r="B3865" s="1200"/>
      <c r="C3865" s="1200"/>
      <c r="D3865" s="1200"/>
      <c r="E3865" s="1200"/>
      <c r="F3865" s="1200"/>
      <c r="G3865" s="1200"/>
      <c r="H3865" s="1200"/>
      <c r="I3865" s="1200"/>
      <c r="J3865" s="1200"/>
      <c r="K3865" s="1200"/>
      <c r="L3865" s="1201"/>
      <c r="M3865" s="50"/>
      <c r="O3865" s="5"/>
      <c r="Q3865" s="34"/>
      <c r="R3865" s="5"/>
      <c r="S3865" s="35"/>
      <c r="U3865" s="10"/>
    </row>
    <row r="3866" spans="1:21" ht="30" customHeight="1" x14ac:dyDescent="0.35">
      <c r="A3866" s="590" t="s">
        <v>1</v>
      </c>
      <c r="B3866" s="591">
        <v>8131</v>
      </c>
      <c r="C3866" s="1762" t="s">
        <v>1649</v>
      </c>
      <c r="D3866" s="1763"/>
      <c r="E3866" s="548" t="s">
        <v>3</v>
      </c>
      <c r="F3866" s="1104" t="s">
        <v>1650</v>
      </c>
      <c r="G3866" s="513" t="s">
        <v>38</v>
      </c>
      <c r="H3866" s="357">
        <v>5939.66403031346</v>
      </c>
      <c r="I3866" s="548" t="s">
        <v>5</v>
      </c>
      <c r="J3866" s="1207" t="s">
        <v>1100</v>
      </c>
      <c r="K3866" s="1207"/>
      <c r="L3866" s="1208"/>
      <c r="M3866" s="96"/>
      <c r="N3866" s="50"/>
      <c r="O3866" s="5"/>
      <c r="T3866" s="10"/>
    </row>
    <row r="3867" spans="1:21" ht="30" customHeight="1" x14ac:dyDescent="0.35">
      <c r="A3867" s="446" t="s">
        <v>6</v>
      </c>
      <c r="B3867" s="1248" t="s">
        <v>7</v>
      </c>
      <c r="C3867" s="1248"/>
      <c r="D3867" s="1248"/>
      <c r="E3867" s="446" t="s">
        <v>8</v>
      </c>
      <c r="F3867" s="446" t="s">
        <v>9</v>
      </c>
      <c r="G3867" s="446" t="s">
        <v>10</v>
      </c>
      <c r="H3867" s="446" t="s">
        <v>11</v>
      </c>
      <c r="I3867" s="446" t="s">
        <v>12</v>
      </c>
      <c r="J3867" s="448" t="s">
        <v>2774</v>
      </c>
      <c r="K3867" s="448" t="s">
        <v>13</v>
      </c>
      <c r="L3867" s="448"/>
      <c r="M3867" s="50"/>
      <c r="N3867" s="96"/>
      <c r="O3867" s="5"/>
      <c r="T3867" s="10"/>
    </row>
    <row r="3868" spans="1:21" ht="30" customHeight="1" x14ac:dyDescent="0.35">
      <c r="A3868" s="595" t="s">
        <v>1651</v>
      </c>
      <c r="B3868" s="1044" t="s">
        <v>1652</v>
      </c>
      <c r="C3868" s="792"/>
      <c r="D3868" s="792"/>
      <c r="E3868" s="1105">
        <v>2400</v>
      </c>
      <c r="F3868" s="595" t="s">
        <v>108</v>
      </c>
      <c r="G3868" s="1106">
        <v>19647.195253018501</v>
      </c>
      <c r="H3868" s="1106">
        <v>18475.0315714889</v>
      </c>
      <c r="I3868" s="1106">
        <v>685.86801170047795</v>
      </c>
      <c r="J3868" s="1106">
        <v>0</v>
      </c>
      <c r="K3868" s="1106">
        <v>38808.0948362079</v>
      </c>
      <c r="L3868" s="595" t="s">
        <v>108</v>
      </c>
      <c r="M3868" s="97"/>
      <c r="N3868" s="50"/>
      <c r="O3868" s="5"/>
      <c r="U3868" s="10"/>
    </row>
    <row r="3869" spans="1:21" ht="30" customHeight="1" x14ac:dyDescent="0.35">
      <c r="A3869" s="595" t="s">
        <v>1653</v>
      </c>
      <c r="B3869" s="1044" t="s">
        <v>1654</v>
      </c>
      <c r="C3869" s="792"/>
      <c r="D3869" s="792"/>
      <c r="E3869" s="1105">
        <v>3</v>
      </c>
      <c r="F3869" s="595" t="s">
        <v>40</v>
      </c>
      <c r="G3869" s="1106">
        <v>106018.946984804</v>
      </c>
      <c r="H3869" s="1106">
        <v>17750.519051249499</v>
      </c>
      <c r="I3869" s="1106">
        <v>1746.7074168450399</v>
      </c>
      <c r="J3869" s="1106">
        <v>0</v>
      </c>
      <c r="K3869" s="1106">
        <v>125516.17345289901</v>
      </c>
      <c r="L3869" s="595" t="s">
        <v>40</v>
      </c>
      <c r="M3869" s="97"/>
      <c r="N3869" s="50"/>
      <c r="O3869" s="5"/>
      <c r="U3869" s="10"/>
    </row>
    <row r="3870" spans="1:21" ht="30" customHeight="1" x14ac:dyDescent="0.35">
      <c r="A3870" s="595" t="s">
        <v>1655</v>
      </c>
      <c r="B3870" s="1044" t="s">
        <v>1656</v>
      </c>
      <c r="C3870" s="792"/>
      <c r="D3870" s="792"/>
      <c r="E3870" s="1105">
        <v>3</v>
      </c>
      <c r="F3870" s="595" t="s">
        <v>40</v>
      </c>
      <c r="G3870" s="1106">
        <v>17742.819025700901</v>
      </c>
      <c r="H3870" s="1106">
        <v>8457.4707578163307</v>
      </c>
      <c r="I3870" s="1106">
        <v>0</v>
      </c>
      <c r="J3870" s="1106">
        <v>0</v>
      </c>
      <c r="K3870" s="1106">
        <v>26200.289783517299</v>
      </c>
      <c r="L3870" s="595" t="s">
        <v>40</v>
      </c>
      <c r="M3870" s="97"/>
      <c r="N3870" s="50"/>
      <c r="O3870" s="5"/>
      <c r="P3870" s="9"/>
    </row>
    <row r="3871" spans="1:21" ht="30" customHeight="1" x14ac:dyDescent="0.35">
      <c r="A3871" s="595" t="s">
        <v>1657</v>
      </c>
      <c r="B3871" s="1044" t="s">
        <v>1658</v>
      </c>
      <c r="C3871" s="792"/>
      <c r="D3871" s="792"/>
      <c r="E3871" s="1105">
        <v>6</v>
      </c>
      <c r="F3871" s="595" t="s">
        <v>40</v>
      </c>
      <c r="G3871" s="1106">
        <v>7085.3187457042004</v>
      </c>
      <c r="H3871" s="1106">
        <v>2498.9755220576599</v>
      </c>
      <c r="I3871" s="1106">
        <v>0</v>
      </c>
      <c r="J3871" s="1106">
        <v>0</v>
      </c>
      <c r="K3871" s="1106">
        <v>9584.2942677618594</v>
      </c>
      <c r="L3871" s="595" t="s">
        <v>40</v>
      </c>
      <c r="M3871" s="97"/>
      <c r="N3871" s="50"/>
      <c r="O3871" s="5"/>
      <c r="P3871" s="9"/>
      <c r="T3871" s="10"/>
    </row>
    <row r="3872" spans="1:21" ht="30" customHeight="1" x14ac:dyDescent="0.35">
      <c r="A3872" s="595" t="s">
        <v>1659</v>
      </c>
      <c r="B3872" s="1044" t="s">
        <v>1660</v>
      </c>
      <c r="C3872" s="792"/>
      <c r="D3872" s="792"/>
      <c r="E3872" s="1105">
        <v>3</v>
      </c>
      <c r="F3872" s="595" t="s">
        <v>40</v>
      </c>
      <c r="G3872" s="1106">
        <v>47850.503334703702</v>
      </c>
      <c r="H3872" s="1106">
        <v>0</v>
      </c>
      <c r="I3872" s="1106">
        <v>0</v>
      </c>
      <c r="J3872" s="1106">
        <v>0</v>
      </c>
      <c r="K3872" s="1106">
        <v>47850.503334703702</v>
      </c>
      <c r="L3872" s="595" t="s">
        <v>40</v>
      </c>
      <c r="M3872" s="97"/>
      <c r="N3872" s="50"/>
      <c r="O3872" s="5"/>
      <c r="P3872" s="9"/>
      <c r="T3872" s="10"/>
    </row>
    <row r="3873" spans="1:21" ht="30" customHeight="1" x14ac:dyDescent="0.35">
      <c r="A3873" s="595" t="s">
        <v>1661</v>
      </c>
      <c r="B3873" s="1044" t="s">
        <v>1662</v>
      </c>
      <c r="C3873" s="792"/>
      <c r="D3873" s="792"/>
      <c r="E3873" s="1105">
        <v>6</v>
      </c>
      <c r="F3873" s="595" t="s">
        <v>40</v>
      </c>
      <c r="G3873" s="1106">
        <v>536.53576201845101</v>
      </c>
      <c r="H3873" s="1106">
        <v>1384.16495022463</v>
      </c>
      <c r="I3873" s="1106">
        <v>0</v>
      </c>
      <c r="J3873" s="1106">
        <v>0</v>
      </c>
      <c r="K3873" s="1106">
        <v>1920.70071224308</v>
      </c>
      <c r="L3873" s="595" t="s">
        <v>40</v>
      </c>
      <c r="M3873" s="97"/>
      <c r="N3873" s="50"/>
      <c r="P3873" s="9"/>
      <c r="Q3873" s="34"/>
      <c r="R3873" s="5"/>
      <c r="S3873" s="35"/>
    </row>
    <row r="3874" spans="1:21" ht="30" customHeight="1" x14ac:dyDescent="0.35">
      <c r="A3874" s="595" t="s">
        <v>1663</v>
      </c>
      <c r="B3874" s="1044" t="s">
        <v>1664</v>
      </c>
      <c r="C3874" s="792"/>
      <c r="D3874" s="792"/>
      <c r="E3874" s="1105">
        <v>12</v>
      </c>
      <c r="F3874" s="595" t="s">
        <v>40</v>
      </c>
      <c r="G3874" s="1106">
        <v>3678.6600980317999</v>
      </c>
      <c r="H3874" s="1106">
        <v>4994.7780248261997</v>
      </c>
      <c r="I3874" s="1106">
        <v>0</v>
      </c>
      <c r="J3874" s="1106">
        <v>0</v>
      </c>
      <c r="K3874" s="1106">
        <v>8673.4381228580005</v>
      </c>
      <c r="L3874" s="595" t="s">
        <v>40</v>
      </c>
      <c r="M3874" s="97"/>
      <c r="N3874" s="50"/>
      <c r="P3874" s="9"/>
      <c r="Q3874" s="34"/>
      <c r="R3874" s="5"/>
      <c r="S3874" s="35"/>
    </row>
    <row r="3875" spans="1:21" ht="30" customHeight="1" x14ac:dyDescent="0.35">
      <c r="A3875" s="595" t="s">
        <v>1665</v>
      </c>
      <c r="B3875" s="1044" t="s">
        <v>1666</v>
      </c>
      <c r="C3875" s="792"/>
      <c r="D3875" s="792"/>
      <c r="E3875" s="1105">
        <v>9</v>
      </c>
      <c r="F3875" s="595" t="s">
        <v>1667</v>
      </c>
      <c r="G3875" s="1106">
        <v>1902.1497643089699</v>
      </c>
      <c r="H3875" s="1106">
        <v>336.25531515652602</v>
      </c>
      <c r="I3875" s="1106">
        <v>0</v>
      </c>
      <c r="J3875" s="1106">
        <v>7320.9164919632503</v>
      </c>
      <c r="K3875" s="1106">
        <v>9559.3215714287398</v>
      </c>
      <c r="L3875" s="595" t="s">
        <v>1667</v>
      </c>
      <c r="M3875" s="97"/>
      <c r="N3875" s="50"/>
      <c r="O3875" s="5"/>
      <c r="P3875" s="9"/>
      <c r="Q3875" s="34"/>
      <c r="R3875" s="5"/>
      <c r="S3875" s="35"/>
    </row>
    <row r="3876" spans="1:21" ht="30" customHeight="1" x14ac:dyDescent="0.35">
      <c r="A3876" s="595" t="s">
        <v>1668</v>
      </c>
      <c r="B3876" s="1044" t="s">
        <v>1669</v>
      </c>
      <c r="C3876" s="792"/>
      <c r="D3876" s="792"/>
      <c r="E3876" s="1105">
        <v>9</v>
      </c>
      <c r="F3876" s="595" t="s">
        <v>40</v>
      </c>
      <c r="G3876" s="1106">
        <v>49449.620412727199</v>
      </c>
      <c r="H3876" s="1106">
        <v>4881.7175299084502</v>
      </c>
      <c r="I3876" s="1106">
        <v>0</v>
      </c>
      <c r="J3876" s="1106">
        <v>0</v>
      </c>
      <c r="K3876" s="1106">
        <v>54331.337942635699</v>
      </c>
      <c r="L3876" s="595" t="s">
        <v>40</v>
      </c>
      <c r="M3876" s="97"/>
      <c r="N3876" s="50"/>
      <c r="P3876" s="9"/>
      <c r="Q3876" s="34"/>
      <c r="R3876" s="5"/>
      <c r="S3876" s="35"/>
    </row>
    <row r="3877" spans="1:21" ht="30" customHeight="1" x14ac:dyDescent="0.35">
      <c r="A3877" s="595" t="s">
        <v>1670</v>
      </c>
      <c r="B3877" s="1316" t="s">
        <v>1671</v>
      </c>
      <c r="C3877" s="1317"/>
      <c r="D3877" s="1318"/>
      <c r="E3877" s="1105">
        <v>60</v>
      </c>
      <c r="F3877" s="595" t="s">
        <v>28</v>
      </c>
      <c r="G3877" s="1106">
        <v>44775.278184658499</v>
      </c>
      <c r="H3877" s="1106">
        <v>7913.4273790323396</v>
      </c>
      <c r="I3877" s="1106">
        <v>0</v>
      </c>
      <c r="J3877" s="1106">
        <v>0</v>
      </c>
      <c r="K3877" s="1106">
        <v>52688.705563690797</v>
      </c>
      <c r="L3877" s="595" t="s">
        <v>28</v>
      </c>
      <c r="M3877" s="97"/>
      <c r="N3877" s="50"/>
      <c r="P3877" s="9"/>
      <c r="Q3877" s="34"/>
      <c r="R3877" s="5"/>
      <c r="S3877" s="35"/>
    </row>
    <row r="3878" spans="1:21" ht="30" customHeight="1" x14ac:dyDescent="0.35">
      <c r="A3878" s="595" t="s">
        <v>1672</v>
      </c>
      <c r="B3878" s="1044" t="s">
        <v>1673</v>
      </c>
      <c r="C3878" s="792"/>
      <c r="D3878" s="792"/>
      <c r="E3878" s="1105">
        <v>60</v>
      </c>
      <c r="F3878" s="595" t="s">
        <v>28</v>
      </c>
      <c r="G3878" s="1106">
        <v>46743.422280687402</v>
      </c>
      <c r="H3878" s="1106">
        <v>7913.2806035395697</v>
      </c>
      <c r="I3878" s="1106">
        <v>0</v>
      </c>
      <c r="J3878" s="1106">
        <v>0</v>
      </c>
      <c r="K3878" s="1106">
        <v>54656.702884227001</v>
      </c>
      <c r="L3878" s="595" t="s">
        <v>28</v>
      </c>
      <c r="M3878" s="97"/>
      <c r="N3878" s="50"/>
      <c r="P3878" s="9"/>
      <c r="Q3878" s="34"/>
      <c r="R3878" s="5"/>
      <c r="S3878" s="35"/>
    </row>
    <row r="3879" spans="1:21" ht="30" customHeight="1" x14ac:dyDescent="0.35">
      <c r="A3879" s="595" t="s">
        <v>1674</v>
      </c>
      <c r="B3879" s="1044" t="s">
        <v>1675</v>
      </c>
      <c r="C3879" s="792"/>
      <c r="D3879" s="792"/>
      <c r="E3879" s="1105">
        <v>40</v>
      </c>
      <c r="F3879" s="595" t="s">
        <v>28</v>
      </c>
      <c r="G3879" s="1106">
        <v>82006.004001206005</v>
      </c>
      <c r="H3879" s="1106">
        <v>17585.385280143</v>
      </c>
      <c r="I3879" s="1106">
        <v>0</v>
      </c>
      <c r="J3879" s="1106">
        <v>0</v>
      </c>
      <c r="K3879" s="1106">
        <v>99591.389281349097</v>
      </c>
      <c r="L3879" s="595" t="s">
        <v>28</v>
      </c>
      <c r="M3879" s="97"/>
      <c r="N3879" s="50"/>
      <c r="P3879" s="9"/>
      <c r="Q3879" s="34"/>
      <c r="R3879" s="5"/>
      <c r="S3879" s="35"/>
    </row>
    <row r="3880" spans="1:21" ht="30" customHeight="1" x14ac:dyDescent="0.35">
      <c r="A3880" s="595" t="s">
        <v>1676</v>
      </c>
      <c r="B3880" s="1759" t="s">
        <v>1677</v>
      </c>
      <c r="C3880" s="1760"/>
      <c r="D3880" s="1761"/>
      <c r="E3880" s="1105">
        <v>3</v>
      </c>
      <c r="F3880" s="595" t="s">
        <v>40</v>
      </c>
      <c r="G3880" s="1106">
        <v>150070.98584609901</v>
      </c>
      <c r="H3880" s="1106">
        <v>25989.5885429886</v>
      </c>
      <c r="I3880" s="1106">
        <v>3014.4424933024202</v>
      </c>
      <c r="J3880" s="1106">
        <v>0</v>
      </c>
      <c r="K3880" s="1106">
        <v>179075.01688238999</v>
      </c>
      <c r="L3880" s="595" t="s">
        <v>40</v>
      </c>
      <c r="M3880" s="97"/>
      <c r="N3880" s="50"/>
      <c r="P3880" s="9"/>
      <c r="Q3880" s="34"/>
      <c r="R3880" s="5"/>
      <c r="S3880" s="35"/>
    </row>
    <row r="3881" spans="1:21" ht="30" customHeight="1" x14ac:dyDescent="0.35">
      <c r="A3881" s="595" t="s">
        <v>1678</v>
      </c>
      <c r="B3881" s="1044" t="s">
        <v>1679</v>
      </c>
      <c r="C3881" s="792"/>
      <c r="D3881" s="792"/>
      <c r="E3881" s="1105">
        <v>3</v>
      </c>
      <c r="F3881" s="595" t="s">
        <v>40</v>
      </c>
      <c r="G3881" s="1106">
        <v>275540.17344405199</v>
      </c>
      <c r="H3881" s="1106">
        <v>14142.513910289899</v>
      </c>
      <c r="I3881" s="1106">
        <v>2627.99623156094</v>
      </c>
      <c r="J3881" s="1106">
        <v>0</v>
      </c>
      <c r="K3881" s="1106">
        <v>292310.68358590303</v>
      </c>
      <c r="L3881" s="595" t="s">
        <v>40</v>
      </c>
      <c r="M3881" s="97"/>
      <c r="N3881" s="50"/>
      <c r="P3881" s="9"/>
      <c r="Q3881" s="34"/>
      <c r="R3881" s="5"/>
      <c r="S3881" s="35"/>
    </row>
    <row r="3882" spans="1:21" ht="30" customHeight="1" x14ac:dyDescent="0.35">
      <c r="A3882" s="595" t="s">
        <v>1680</v>
      </c>
      <c r="B3882" s="1044" t="s">
        <v>1681</v>
      </c>
      <c r="C3882" s="792"/>
      <c r="D3882" s="792"/>
      <c r="E3882" s="1105">
        <v>6</v>
      </c>
      <c r="F3882" s="595" t="s">
        <v>40</v>
      </c>
      <c r="G3882" s="1106">
        <v>8856.6484321302505</v>
      </c>
      <c r="H3882" s="1106">
        <v>4122.4859340161702</v>
      </c>
      <c r="I3882" s="1106">
        <v>478.14455138114499</v>
      </c>
      <c r="J3882" s="1106">
        <v>0</v>
      </c>
      <c r="K3882" s="1106">
        <v>13457.278917527599</v>
      </c>
      <c r="L3882" s="595" t="s">
        <v>40</v>
      </c>
      <c r="M3882" s="97"/>
      <c r="N3882" s="50"/>
      <c r="O3882" s="5"/>
      <c r="P3882" s="9"/>
      <c r="Q3882" s="34"/>
      <c r="R3882" s="5"/>
      <c r="S3882" s="35"/>
    </row>
    <row r="3883" spans="1:21" ht="30" customHeight="1" x14ac:dyDescent="0.35">
      <c r="A3883" s="595" t="s">
        <v>1682</v>
      </c>
      <c r="B3883" s="1044" t="s">
        <v>1683</v>
      </c>
      <c r="C3883" s="792"/>
      <c r="D3883" s="792"/>
      <c r="E3883" s="1105">
        <v>12</v>
      </c>
      <c r="F3883" s="595" t="s">
        <v>40</v>
      </c>
      <c r="G3883" s="1106">
        <v>6750.7342493792803</v>
      </c>
      <c r="H3883" s="1106">
        <v>4945.8884425078904</v>
      </c>
      <c r="I3883" s="1106">
        <v>0</v>
      </c>
      <c r="J3883" s="1106">
        <v>0</v>
      </c>
      <c r="K3883" s="1106">
        <v>11696.6226918872</v>
      </c>
      <c r="L3883" s="595" t="s">
        <v>40</v>
      </c>
      <c r="M3883" s="97"/>
      <c r="N3883" s="50"/>
      <c r="O3883" s="5"/>
      <c r="P3883" s="9"/>
      <c r="Q3883" s="34"/>
      <c r="R3883" s="5"/>
      <c r="S3883" s="35"/>
    </row>
    <row r="3884" spans="1:21" ht="30" customHeight="1" x14ac:dyDescent="0.35">
      <c r="A3884" s="595" t="s">
        <v>1684</v>
      </c>
      <c r="B3884" s="1044" t="s">
        <v>1685</v>
      </c>
      <c r="C3884" s="792"/>
      <c r="D3884" s="792"/>
      <c r="E3884" s="1105">
        <v>1500</v>
      </c>
      <c r="F3884" s="595" t="s">
        <v>28</v>
      </c>
      <c r="G3884" s="1106">
        <v>5879.8304868864698</v>
      </c>
      <c r="H3884" s="1106">
        <v>2637.95590183688</v>
      </c>
      <c r="I3884" s="1106">
        <v>0</v>
      </c>
      <c r="J3884" s="1106">
        <v>0</v>
      </c>
      <c r="K3884" s="1106">
        <v>8517.7863887233507</v>
      </c>
      <c r="L3884" s="595" t="s">
        <v>28</v>
      </c>
      <c r="M3884" s="97"/>
      <c r="N3884" s="50"/>
      <c r="O3884" s="5"/>
      <c r="P3884" s="9"/>
      <c r="Q3884" s="34"/>
      <c r="R3884" s="5"/>
      <c r="S3884" s="35"/>
    </row>
    <row r="3885" spans="1:21" ht="30" customHeight="1" x14ac:dyDescent="0.35">
      <c r="A3885" s="1392" t="s">
        <v>2816</v>
      </c>
      <c r="B3885" s="1393"/>
      <c r="C3885" s="1393"/>
      <c r="D3885" s="1322"/>
      <c r="E3885" s="278"/>
      <c r="F3885" s="278"/>
      <c r="G3885" s="1107"/>
      <c r="H3885" s="1107"/>
      <c r="I3885" s="1107"/>
      <c r="J3885" s="801">
        <f>SUM(J3868:J3884)</f>
        <v>7320.9164919632503</v>
      </c>
      <c r="K3885" s="281">
        <f>SUM(K3868:K3884)</f>
        <v>1034438.3402199533</v>
      </c>
      <c r="L3885" s="595" t="s">
        <v>31</v>
      </c>
      <c r="M3885" s="97"/>
      <c r="N3885" s="50"/>
      <c r="O3885" s="5"/>
      <c r="P3885" s="9"/>
      <c r="Q3885" s="34"/>
      <c r="R3885" s="5"/>
      <c r="S3885" s="35"/>
    </row>
    <row r="3886" spans="1:21" ht="30" customHeight="1" x14ac:dyDescent="0.35">
      <c r="A3886" s="1394"/>
      <c r="B3886" s="1395"/>
      <c r="C3886" s="1395"/>
      <c r="D3886" s="1474"/>
      <c r="E3886" s="278"/>
      <c r="F3886" s="278"/>
      <c r="G3886" s="1107"/>
      <c r="H3886" s="1107"/>
      <c r="I3886" s="1107"/>
      <c r="J3886" s="1108" t="s">
        <v>37</v>
      </c>
      <c r="K3886" s="281">
        <f>+K3885/H3866</f>
        <v>174.15771918085437</v>
      </c>
      <c r="L3886" s="271" t="s">
        <v>1650</v>
      </c>
      <c r="M3886" s="50"/>
      <c r="N3886" s="50"/>
      <c r="O3886" s="5"/>
      <c r="P3886" s="9"/>
      <c r="Q3886" s="34"/>
      <c r="R3886" s="5"/>
      <c r="S3886" s="35"/>
    </row>
    <row r="3887" spans="1:21" ht="30" customHeight="1" x14ac:dyDescent="0.35">
      <c r="A3887" s="1394"/>
      <c r="B3887" s="1395"/>
      <c r="C3887" s="1395"/>
      <c r="D3887" s="1474"/>
      <c r="E3887" s="278"/>
      <c r="F3887" s="278"/>
      <c r="G3887" s="278"/>
      <c r="H3887" s="278"/>
      <c r="I3887" s="278"/>
      <c r="J3887" s="1111"/>
      <c r="K3887" s="308"/>
      <c r="L3887" s="448"/>
      <c r="M3887" s="50"/>
      <c r="N3887" s="50"/>
      <c r="O3887" s="5"/>
      <c r="P3887" s="9"/>
      <c r="Q3887" s="34"/>
      <c r="R3887" s="5"/>
      <c r="S3887" s="35"/>
    </row>
    <row r="3888" spans="1:21" ht="30" customHeight="1" x14ac:dyDescent="0.35">
      <c r="A3888" s="1394"/>
      <c r="B3888" s="1395"/>
      <c r="C3888" s="1395"/>
      <c r="D3888" s="1474"/>
      <c r="E3888" s="278" t="s">
        <v>2814</v>
      </c>
      <c r="F3888" s="278"/>
      <c r="G3888" s="278"/>
      <c r="H3888" s="278"/>
      <c r="I3888" s="278"/>
      <c r="J3888" s="278"/>
      <c r="K3888" s="278"/>
      <c r="L3888" s="278"/>
      <c r="M3888" s="50"/>
      <c r="N3888" s="97"/>
      <c r="O3888" s="491"/>
      <c r="T3888" s="10"/>
      <c r="U3888" s="10"/>
    </row>
    <row r="3889" spans="1:19" ht="30" customHeight="1" thickBot="1" x14ac:dyDescent="0.4">
      <c r="A3889" s="1183"/>
      <c r="B3889" s="1183"/>
      <c r="C3889" s="1183"/>
      <c r="D3889" s="1183"/>
      <c r="E3889" s="488"/>
      <c r="F3889" s="441"/>
      <c r="G3889" s="1191" t="s">
        <v>3000</v>
      </c>
      <c r="H3889" s="1192"/>
      <c r="I3889" s="1193"/>
      <c r="J3889" s="570">
        <v>1.0438745311870332</v>
      </c>
      <c r="K3889" s="1184">
        <f>+K3886*J3889</f>
        <v>181.79880746251735</v>
      </c>
      <c r="L3889" s="486" t="s">
        <v>1650</v>
      </c>
      <c r="M3889" s="50"/>
      <c r="N3889" s="50"/>
      <c r="O3889" s="5"/>
      <c r="P3889" s="9"/>
      <c r="Q3889" s="34"/>
      <c r="R3889" s="5"/>
      <c r="S3889" s="35"/>
    </row>
    <row r="3890" spans="1:19" ht="30" customHeight="1" thickBot="1" x14ac:dyDescent="0.4">
      <c r="A3890" s="1199"/>
      <c r="B3890" s="1200"/>
      <c r="C3890" s="1200"/>
      <c r="D3890" s="1200"/>
      <c r="E3890" s="1200"/>
      <c r="F3890" s="1200"/>
      <c r="G3890" s="1200"/>
      <c r="H3890" s="1200"/>
      <c r="I3890" s="1200"/>
      <c r="J3890" s="1200"/>
      <c r="K3890" s="1200"/>
      <c r="L3890" s="1201"/>
      <c r="M3890" s="50"/>
      <c r="N3890" s="50"/>
    </row>
    <row r="3891" spans="1:19" ht="30" customHeight="1" x14ac:dyDescent="0.35">
      <c r="A3891" s="388" t="s">
        <v>1</v>
      </c>
      <c r="B3891" s="389">
        <v>8132</v>
      </c>
      <c r="C3891" s="1205" t="s">
        <v>1686</v>
      </c>
      <c r="D3891" s="1206"/>
      <c r="E3891" s="392" t="s">
        <v>3</v>
      </c>
      <c r="F3891" s="393" t="s">
        <v>1650</v>
      </c>
      <c r="G3891" s="390" t="s">
        <v>38</v>
      </c>
      <c r="H3891" s="135">
        <v>30428.920274361699</v>
      </c>
      <c r="I3891" s="392" t="s">
        <v>5</v>
      </c>
      <c r="J3891" s="1207" t="s">
        <v>2873</v>
      </c>
      <c r="K3891" s="1207"/>
      <c r="L3891" s="1208"/>
      <c r="M3891" s="97"/>
      <c r="N3891" s="50"/>
      <c r="O3891" s="5"/>
      <c r="P3891" s="9"/>
      <c r="Q3891" s="34"/>
      <c r="R3891" s="5"/>
      <c r="S3891" s="35"/>
    </row>
    <row r="3892" spans="1:19" ht="30" customHeight="1" x14ac:dyDescent="0.35">
      <c r="A3892" s="185" t="s">
        <v>177</v>
      </c>
      <c r="B3892" s="1272" t="s">
        <v>7</v>
      </c>
      <c r="C3892" s="1272"/>
      <c r="D3892" s="1272"/>
      <c r="E3892" s="397" t="s">
        <v>52</v>
      </c>
      <c r="F3892" s="185" t="s">
        <v>178</v>
      </c>
      <c r="G3892" s="1292" t="s">
        <v>54</v>
      </c>
      <c r="H3892" s="1293"/>
      <c r="I3892" s="1221" t="s">
        <v>351</v>
      </c>
      <c r="J3892" s="1222"/>
      <c r="K3892" s="399" t="s">
        <v>180</v>
      </c>
      <c r="L3892" s="400"/>
      <c r="M3892" s="96"/>
      <c r="N3892" s="50"/>
      <c r="O3892" s="5"/>
      <c r="P3892" s="9"/>
      <c r="Q3892" s="34"/>
      <c r="R3892" s="5"/>
      <c r="S3892" s="35"/>
    </row>
    <row r="3893" spans="1:19" ht="30" customHeight="1" x14ac:dyDescent="0.35">
      <c r="A3893" s="186">
        <v>81320</v>
      </c>
      <c r="B3893" s="1212" t="s">
        <v>2934</v>
      </c>
      <c r="C3893" s="1213"/>
      <c r="D3893" s="1214"/>
      <c r="E3893" s="267">
        <v>63297.53</v>
      </c>
      <c r="F3893" s="223">
        <v>300</v>
      </c>
      <c r="G3893" s="788">
        <v>2</v>
      </c>
      <c r="H3893" s="136" t="s">
        <v>2592</v>
      </c>
      <c r="I3893" s="1307">
        <f>+'FY2024 MILCON Inflation Table'!F23</f>
        <v>0.93863689284411045</v>
      </c>
      <c r="J3893" s="1308"/>
      <c r="K3893" s="199">
        <f>+E3893/F3893*G3893*I3893</f>
        <v>396.0893125593791</v>
      </c>
      <c r="L3893" s="186" t="s">
        <v>1650</v>
      </c>
      <c r="M3893" s="50"/>
      <c r="N3893" s="50"/>
      <c r="O3893" s="5"/>
      <c r="P3893" s="9"/>
      <c r="Q3893" s="34"/>
      <c r="R3893" s="5"/>
      <c r="S3893" s="35"/>
    </row>
    <row r="3894" spans="1:19" ht="30" customHeight="1" x14ac:dyDescent="0.35">
      <c r="A3894" s="186">
        <v>81242</v>
      </c>
      <c r="B3894" s="1212" t="s">
        <v>2933</v>
      </c>
      <c r="C3894" s="1213"/>
      <c r="D3894" s="1214"/>
      <c r="E3894" s="355">
        <v>1094.4100000000001</v>
      </c>
      <c r="F3894" s="367">
        <v>15</v>
      </c>
      <c r="G3894" s="862">
        <v>6</v>
      </c>
      <c r="H3894" s="765" t="s">
        <v>2592</v>
      </c>
      <c r="I3894" s="1307">
        <f>+I3893</f>
        <v>0.93863689284411045</v>
      </c>
      <c r="J3894" s="1308"/>
      <c r="K3894" s="307">
        <f>+E3894/F3894*G3894*I3894</f>
        <v>410.90144075900918</v>
      </c>
      <c r="L3894" s="186" t="s">
        <v>1650</v>
      </c>
      <c r="M3894" s="50"/>
      <c r="N3894" s="50"/>
      <c r="O3894" s="5"/>
      <c r="P3894" s="466"/>
      <c r="Q3894" s="34"/>
      <c r="R3894" s="5"/>
      <c r="S3894" s="35"/>
    </row>
    <row r="3895" spans="1:19" ht="30" customHeight="1" thickBot="1" x14ac:dyDescent="0.4">
      <c r="A3895" s="1112"/>
      <c r="B3895" s="539"/>
      <c r="C3895" s="539"/>
      <c r="D3895" s="1113"/>
      <c r="E3895" s="503"/>
      <c r="F3895" s="503"/>
      <c r="G3895" s="1114"/>
      <c r="H3895" s="1114"/>
      <c r="I3895" s="1114"/>
      <c r="J3895" s="1115" t="s">
        <v>37</v>
      </c>
      <c r="K3895" s="201">
        <f>+K3893+K3894</f>
        <v>806.99075331838822</v>
      </c>
      <c r="L3895" s="186" t="s">
        <v>1650</v>
      </c>
      <c r="M3895" s="50"/>
      <c r="N3895" s="50"/>
      <c r="O3895" s="5"/>
      <c r="P3895" s="9"/>
      <c r="Q3895" s="34"/>
      <c r="R3895" s="5"/>
      <c r="S3895" s="35"/>
    </row>
    <row r="3896" spans="1:19" ht="30" customHeight="1" thickBot="1" x14ac:dyDescent="0.4">
      <c r="A3896" s="1199"/>
      <c r="B3896" s="1200"/>
      <c r="C3896" s="1200"/>
      <c r="D3896" s="1200"/>
      <c r="E3896" s="1200"/>
      <c r="F3896" s="1200"/>
      <c r="G3896" s="1200"/>
      <c r="H3896" s="1200"/>
      <c r="I3896" s="1200"/>
      <c r="J3896" s="1200"/>
      <c r="K3896" s="1200"/>
      <c r="L3896" s="1201"/>
      <c r="M3896" s="50"/>
      <c r="N3896" s="50"/>
      <c r="O3896" s="5"/>
      <c r="P3896" s="9"/>
      <c r="Q3896" s="34"/>
      <c r="R3896" s="5"/>
      <c r="S3896" s="35"/>
    </row>
    <row r="3897" spans="1:19" ht="30" customHeight="1" x14ac:dyDescent="0.35">
      <c r="A3897" s="388" t="s">
        <v>1</v>
      </c>
      <c r="B3897" s="389">
        <v>8133</v>
      </c>
      <c r="C3897" s="1290" t="s">
        <v>1687</v>
      </c>
      <c r="D3897" s="1291"/>
      <c r="E3897" s="392" t="s">
        <v>3</v>
      </c>
      <c r="F3897" s="393" t="s">
        <v>1650</v>
      </c>
      <c r="G3897" s="390" t="s">
        <v>38</v>
      </c>
      <c r="H3897" s="135">
        <v>1407.67896546932</v>
      </c>
      <c r="I3897" s="392" t="s">
        <v>5</v>
      </c>
      <c r="J3897" s="1207" t="s">
        <v>2538</v>
      </c>
      <c r="K3897" s="1207"/>
      <c r="L3897" s="1208"/>
      <c r="M3897" s="96"/>
      <c r="N3897" s="50"/>
      <c r="O3897" s="5"/>
      <c r="P3897" s="9"/>
      <c r="Q3897" s="34"/>
      <c r="R3897" s="5"/>
      <c r="S3897" s="35"/>
    </row>
    <row r="3898" spans="1:19" ht="30" customHeight="1" x14ac:dyDescent="0.35">
      <c r="A3898" s="185" t="s">
        <v>177</v>
      </c>
      <c r="B3898" s="1272" t="s">
        <v>7</v>
      </c>
      <c r="C3898" s="1272"/>
      <c r="D3898" s="1272"/>
      <c r="E3898" s="397" t="s">
        <v>1605</v>
      </c>
      <c r="F3898" s="185" t="s">
        <v>178</v>
      </c>
      <c r="G3898" s="1292" t="s">
        <v>54</v>
      </c>
      <c r="H3898" s="1293"/>
      <c r="I3898" s="1221" t="s">
        <v>179</v>
      </c>
      <c r="J3898" s="1222"/>
      <c r="K3898" s="399" t="s">
        <v>180</v>
      </c>
      <c r="L3898" s="400"/>
      <c r="M3898" s="96"/>
      <c r="N3898" s="50"/>
      <c r="O3898" s="5"/>
      <c r="P3898" s="9"/>
      <c r="Q3898" s="34"/>
      <c r="R3898" s="5"/>
      <c r="S3898" s="35"/>
    </row>
    <row r="3899" spans="1:19" ht="30" customHeight="1" x14ac:dyDescent="0.35">
      <c r="A3899" s="186">
        <v>81360</v>
      </c>
      <c r="B3899" s="1212" t="s">
        <v>1688</v>
      </c>
      <c r="C3899" s="1213"/>
      <c r="D3899" s="1214"/>
      <c r="E3899" s="267">
        <v>67243.48</v>
      </c>
      <c r="F3899" s="203">
        <v>500</v>
      </c>
      <c r="G3899" s="127">
        <v>500</v>
      </c>
      <c r="H3899" s="136" t="s">
        <v>1689</v>
      </c>
      <c r="I3899" s="1307">
        <f>+'FY2024 MILCON Inflation Table'!F22</f>
        <v>0.95834826759383673</v>
      </c>
      <c r="J3899" s="1308"/>
      <c r="K3899" s="267">
        <f>+E3899/G3899*I3899</f>
        <v>128.88534512996159</v>
      </c>
      <c r="L3899" s="186" t="s">
        <v>1650</v>
      </c>
      <c r="M3899" s="50"/>
      <c r="N3899" s="50"/>
      <c r="O3899" s="5"/>
      <c r="P3899" s="9"/>
      <c r="Q3899" s="34"/>
      <c r="R3899" s="5"/>
      <c r="S3899" s="35"/>
    </row>
    <row r="3900" spans="1:19" ht="30" customHeight="1" x14ac:dyDescent="0.35">
      <c r="A3900" s="186">
        <v>81360</v>
      </c>
      <c r="B3900" s="1212" t="s">
        <v>1690</v>
      </c>
      <c r="C3900" s="1213"/>
      <c r="D3900" s="1214"/>
      <c r="E3900" s="267">
        <v>151023.93</v>
      </c>
      <c r="F3900" s="203">
        <v>1000</v>
      </c>
      <c r="G3900" s="127">
        <v>1000</v>
      </c>
      <c r="H3900" s="136" t="s">
        <v>1689</v>
      </c>
      <c r="I3900" s="1307">
        <f>+I3899</f>
        <v>0.95834826759383673</v>
      </c>
      <c r="J3900" s="1308"/>
      <c r="K3900" s="267">
        <f>+E3900/G3900*I3900</f>
        <v>144.73352168071287</v>
      </c>
      <c r="L3900" s="186" t="s">
        <v>1650</v>
      </c>
      <c r="M3900" s="50"/>
      <c r="N3900" s="50"/>
    </row>
    <row r="3901" spans="1:19" ht="30" customHeight="1" x14ac:dyDescent="0.35">
      <c r="A3901" s="186">
        <v>81360</v>
      </c>
      <c r="B3901" s="1212" t="s">
        <v>1691</v>
      </c>
      <c r="C3901" s="1213"/>
      <c r="D3901" s="1214"/>
      <c r="E3901" s="267">
        <v>216481.72</v>
      </c>
      <c r="F3901" s="1116">
        <v>2000</v>
      </c>
      <c r="G3901" s="127">
        <v>2000</v>
      </c>
      <c r="H3901" s="136" t="s">
        <v>1689</v>
      </c>
      <c r="I3901" s="1307">
        <f>+I3899</f>
        <v>0.95834826759383673</v>
      </c>
      <c r="J3901" s="1308"/>
      <c r="K3901" s="267">
        <f>+E3901/G3901*I3901</f>
        <v>103.73244066386701</v>
      </c>
      <c r="L3901" s="186" t="s">
        <v>1650</v>
      </c>
      <c r="M3901" s="50"/>
      <c r="N3901" s="50"/>
      <c r="P3901" s="9"/>
      <c r="Q3901" s="34"/>
      <c r="R3901" s="5"/>
      <c r="S3901" s="35"/>
    </row>
    <row r="3902" spans="1:19" ht="30" customHeight="1" x14ac:dyDescent="0.35">
      <c r="A3902" s="186"/>
      <c r="B3902" s="1202"/>
      <c r="C3902" s="1203"/>
      <c r="D3902" s="1204"/>
      <c r="E3902" s="194"/>
      <c r="F3902" s="784">
        <f>AVERAGE(F3899:F3901)</f>
        <v>1166.6666666666667</v>
      </c>
      <c r="G3902" s="127"/>
      <c r="H3902" s="136"/>
      <c r="I3902" s="186"/>
      <c r="J3902" s="186" t="s">
        <v>192</v>
      </c>
      <c r="K3902" s="267">
        <f>AVERAGE(K3899:K3901)</f>
        <v>125.7837691581805</v>
      </c>
      <c r="L3902" s="186" t="s">
        <v>1650</v>
      </c>
      <c r="M3902" s="50"/>
      <c r="N3902" s="50"/>
      <c r="O3902" s="5"/>
      <c r="P3902" s="9"/>
      <c r="Q3902" s="34"/>
      <c r="R3902" s="5"/>
      <c r="S3902" s="35"/>
    </row>
    <row r="3903" spans="1:19" ht="30" customHeight="1" thickBot="1" x14ac:dyDescent="0.4">
      <c r="A3903" s="186"/>
      <c r="B3903" s="1202"/>
      <c r="C3903" s="1203"/>
      <c r="D3903" s="1204"/>
      <c r="E3903" s="194"/>
      <c r="F3903" s="784"/>
      <c r="G3903" s="127"/>
      <c r="H3903" s="136"/>
      <c r="I3903" s="186"/>
      <c r="J3903" s="494" t="s">
        <v>37</v>
      </c>
      <c r="K3903" s="267">
        <f>+K3902</f>
        <v>125.7837691581805</v>
      </c>
      <c r="L3903" s="186" t="s">
        <v>1650</v>
      </c>
      <c r="M3903" s="50"/>
      <c r="N3903" s="50"/>
      <c r="O3903" s="16"/>
      <c r="P3903" s="9"/>
      <c r="Q3903" s="34"/>
      <c r="R3903" s="5"/>
      <c r="S3903" s="35"/>
    </row>
    <row r="3904" spans="1:19" ht="30" customHeight="1" thickBot="1" x14ac:dyDescent="0.4">
      <c r="A3904" s="1199"/>
      <c r="B3904" s="1200"/>
      <c r="C3904" s="1200"/>
      <c r="D3904" s="1200"/>
      <c r="E3904" s="1200"/>
      <c r="F3904" s="1200"/>
      <c r="G3904" s="1200"/>
      <c r="H3904" s="1200"/>
      <c r="I3904" s="1200"/>
      <c r="J3904" s="1200"/>
      <c r="K3904" s="1200"/>
      <c r="L3904" s="1201"/>
      <c r="M3904" s="50"/>
      <c r="N3904" s="50"/>
      <c r="O3904" s="16"/>
      <c r="P3904" s="9"/>
      <c r="Q3904" s="34"/>
      <c r="R3904" s="5"/>
      <c r="S3904" s="35"/>
    </row>
    <row r="3905" spans="1:19" ht="30" customHeight="1" x14ac:dyDescent="0.35">
      <c r="A3905" s="388" t="s">
        <v>1</v>
      </c>
      <c r="B3905" s="389">
        <v>8134</v>
      </c>
      <c r="C3905" s="1205" t="s">
        <v>1692</v>
      </c>
      <c r="D3905" s="1206"/>
      <c r="E3905" s="392" t="s">
        <v>3</v>
      </c>
      <c r="F3905" s="393" t="s">
        <v>40</v>
      </c>
      <c r="G3905" s="390" t="s">
        <v>38</v>
      </c>
      <c r="H3905" s="133">
        <v>8</v>
      </c>
      <c r="I3905" s="392" t="s">
        <v>5</v>
      </c>
      <c r="J3905" s="1207" t="s">
        <v>390</v>
      </c>
      <c r="K3905" s="1207"/>
      <c r="L3905" s="1208"/>
      <c r="M3905" s="50"/>
      <c r="N3905" s="50"/>
      <c r="O3905" s="5"/>
      <c r="P3905" s="9"/>
      <c r="Q3905" s="34"/>
      <c r="R3905" s="5"/>
      <c r="S3905" s="35"/>
    </row>
    <row r="3906" spans="1:19" ht="30" customHeight="1" x14ac:dyDescent="0.35">
      <c r="A3906" s="494" t="s">
        <v>187</v>
      </c>
      <c r="B3906" s="1280" t="s">
        <v>211</v>
      </c>
      <c r="C3906" s="1281"/>
      <c r="D3906" s="1282"/>
      <c r="E3906" s="566" t="s">
        <v>52</v>
      </c>
      <c r="F3906" s="566" t="s">
        <v>53</v>
      </c>
      <c r="G3906" s="1219" t="s">
        <v>54</v>
      </c>
      <c r="H3906" s="1220"/>
      <c r="I3906" s="185" t="s">
        <v>188</v>
      </c>
      <c r="J3906" s="185"/>
      <c r="K3906" s="399" t="s">
        <v>180</v>
      </c>
      <c r="L3906" s="400"/>
      <c r="M3906" s="50"/>
      <c r="N3906" s="50"/>
      <c r="O3906" s="5"/>
      <c r="P3906" s="9"/>
      <c r="Q3906" s="34"/>
      <c r="R3906" s="5"/>
      <c r="S3906" s="35"/>
    </row>
    <row r="3907" spans="1:19" ht="30" customHeight="1" x14ac:dyDescent="0.35">
      <c r="A3907" s="985" t="s">
        <v>479</v>
      </c>
      <c r="B3907" s="1212" t="s">
        <v>1693</v>
      </c>
      <c r="C3907" s="1213"/>
      <c r="D3907" s="1214"/>
      <c r="E3907" s="7">
        <v>1320</v>
      </c>
      <c r="F3907" s="422" t="s">
        <v>40</v>
      </c>
      <c r="G3907" s="127"/>
      <c r="H3907" s="136"/>
      <c r="I3907" s="204">
        <v>1</v>
      </c>
      <c r="J3907" s="186"/>
      <c r="K3907" s="733">
        <f>+E3907*I3907</f>
        <v>1320</v>
      </c>
      <c r="L3907" s="422" t="s">
        <v>40</v>
      </c>
      <c r="M3907" s="50"/>
      <c r="N3907" s="50"/>
      <c r="O3907" s="5"/>
      <c r="P3907" s="9"/>
      <c r="Q3907" s="34"/>
      <c r="R3907" s="5"/>
      <c r="S3907" s="35"/>
    </row>
    <row r="3908" spans="1:19" ht="30" customHeight="1" x14ac:dyDescent="0.35">
      <c r="A3908" s="985" t="s">
        <v>193</v>
      </c>
      <c r="B3908" s="1202" t="s">
        <v>1694</v>
      </c>
      <c r="C3908" s="1203"/>
      <c r="D3908" s="1204"/>
      <c r="E3908" s="194">
        <v>322</v>
      </c>
      <c r="F3908" s="422" t="s">
        <v>40</v>
      </c>
      <c r="G3908" s="127"/>
      <c r="H3908" s="136"/>
      <c r="I3908" s="204">
        <v>1</v>
      </c>
      <c r="J3908" s="186"/>
      <c r="K3908" s="733">
        <f>+E3908*I3908</f>
        <v>322</v>
      </c>
      <c r="L3908" s="186" t="s">
        <v>40</v>
      </c>
      <c r="M3908" s="50"/>
      <c r="N3908" s="50"/>
      <c r="P3908" s="9"/>
      <c r="Q3908" s="34"/>
      <c r="R3908" s="5"/>
      <c r="S3908" s="35"/>
    </row>
    <row r="3909" spans="1:19" ht="30" customHeight="1" x14ac:dyDescent="0.35">
      <c r="A3909" s="985" t="s">
        <v>193</v>
      </c>
      <c r="B3909" s="1202" t="s">
        <v>1695</v>
      </c>
      <c r="C3909" s="1203"/>
      <c r="D3909" s="1204"/>
      <c r="E3909" s="194">
        <v>159</v>
      </c>
      <c r="F3909" s="422" t="s">
        <v>40</v>
      </c>
      <c r="G3909" s="127"/>
      <c r="H3909" s="136"/>
      <c r="I3909" s="204">
        <v>1</v>
      </c>
      <c r="J3909" s="186"/>
      <c r="K3909" s="733">
        <f>+E3909*I3909</f>
        <v>159</v>
      </c>
      <c r="L3909" s="186" t="s">
        <v>40</v>
      </c>
      <c r="M3909" s="50"/>
      <c r="N3909" s="50"/>
      <c r="O3909" s="16"/>
      <c r="P3909" s="9"/>
      <c r="Q3909" s="34"/>
      <c r="R3909" s="5"/>
      <c r="S3909" s="35"/>
    </row>
    <row r="3910" spans="1:19" ht="30" customHeight="1" x14ac:dyDescent="0.35">
      <c r="A3910" s="985" t="s">
        <v>193</v>
      </c>
      <c r="B3910" s="1202" t="s">
        <v>1696</v>
      </c>
      <c r="C3910" s="1203"/>
      <c r="D3910" s="1204"/>
      <c r="E3910" s="194">
        <v>6.52</v>
      </c>
      <c r="F3910" s="422" t="s">
        <v>222</v>
      </c>
      <c r="G3910" s="127">
        <v>80</v>
      </c>
      <c r="H3910" s="136" t="s">
        <v>1697</v>
      </c>
      <c r="I3910" s="204">
        <v>1</v>
      </c>
      <c r="J3910" s="186"/>
      <c r="K3910" s="733">
        <f>+E3910*G3910*I3910</f>
        <v>521.59999999999991</v>
      </c>
      <c r="L3910" s="186" t="s">
        <v>40</v>
      </c>
      <c r="M3910" s="50"/>
      <c r="N3910" s="50"/>
      <c r="O3910" s="5"/>
      <c r="P3910" s="9"/>
      <c r="Q3910" s="34"/>
      <c r="R3910" s="5"/>
      <c r="S3910" s="35"/>
    </row>
    <row r="3911" spans="1:19" ht="30" customHeight="1" x14ac:dyDescent="0.35">
      <c r="A3911" s="985" t="s">
        <v>1698</v>
      </c>
      <c r="B3911" s="1202" t="s">
        <v>1699</v>
      </c>
      <c r="C3911" s="1203"/>
      <c r="D3911" s="1204"/>
      <c r="E3911" s="194">
        <v>350</v>
      </c>
      <c r="F3911" s="422" t="s">
        <v>40</v>
      </c>
      <c r="G3911" s="127"/>
      <c r="H3911" s="136"/>
      <c r="I3911" s="204">
        <v>1</v>
      </c>
      <c r="J3911" s="186"/>
      <c r="K3911" s="733">
        <f>+E3911*I3911</f>
        <v>350</v>
      </c>
      <c r="L3911" s="186" t="s">
        <v>40</v>
      </c>
      <c r="M3911" s="50"/>
      <c r="O3911" s="5"/>
      <c r="P3911" s="9"/>
      <c r="Q3911" s="34"/>
      <c r="R3911" s="5"/>
      <c r="S3911" s="35"/>
    </row>
    <row r="3912" spans="1:19" ht="30" customHeight="1" x14ac:dyDescent="0.35">
      <c r="A3912" s="1092"/>
      <c r="B3912" s="988"/>
      <c r="C3912" s="988"/>
      <c r="D3912" s="639"/>
      <c r="E3912" s="147"/>
      <c r="F3912" s="350"/>
      <c r="G3912" s="176"/>
      <c r="H3912" s="561"/>
      <c r="I3912" s="1117"/>
      <c r="J3912" s="755" t="s">
        <v>223</v>
      </c>
      <c r="K3912" s="1076">
        <f>SUM(K3907:K3911)</f>
        <v>2672.6</v>
      </c>
      <c r="L3912" s="755" t="s">
        <v>40</v>
      </c>
      <c r="M3912" s="50"/>
      <c r="N3912" s="50"/>
      <c r="O3912" s="5"/>
      <c r="P3912" s="9"/>
      <c r="Q3912" s="34"/>
      <c r="R3912" s="5"/>
      <c r="S3912" s="35"/>
    </row>
    <row r="3913" spans="1:19" ht="30" customHeight="1" x14ac:dyDescent="0.35">
      <c r="A3913" s="897"/>
      <c r="B3913" s="908"/>
      <c r="C3913" s="908"/>
      <c r="D3913" s="908"/>
      <c r="E3913" s="180"/>
      <c r="F3913" s="1471" t="s">
        <v>195</v>
      </c>
      <c r="G3913" s="1472" t="s">
        <v>196</v>
      </c>
      <c r="H3913" s="1472"/>
      <c r="I3913" s="1472"/>
      <c r="J3913" s="1472"/>
      <c r="K3913" s="184">
        <v>1.07</v>
      </c>
      <c r="L3913" s="897"/>
      <c r="M3913" s="50"/>
      <c r="N3913" s="50"/>
      <c r="O3913" s="5"/>
      <c r="P3913" s="9"/>
      <c r="Q3913" s="34"/>
      <c r="R3913" s="5"/>
      <c r="S3913" s="35"/>
    </row>
    <row r="3914" spans="1:19" ht="30" customHeight="1" x14ac:dyDescent="0.35">
      <c r="A3914" s="897"/>
      <c r="B3914" s="908"/>
      <c r="C3914" s="908"/>
      <c r="D3914" s="908"/>
      <c r="E3914" s="180"/>
      <c r="F3914" s="1471"/>
      <c r="G3914" s="1268" t="s">
        <v>276</v>
      </c>
      <c r="H3914" s="1268"/>
      <c r="I3914" s="1268"/>
      <c r="J3914" s="1268"/>
      <c r="K3914" s="184">
        <v>1.08</v>
      </c>
      <c r="L3914" s="897"/>
      <c r="M3914" s="50"/>
      <c r="N3914" s="50"/>
      <c r="O3914" s="5"/>
      <c r="P3914" s="9"/>
      <c r="Q3914" s="34"/>
      <c r="R3914" s="5"/>
      <c r="S3914" s="35"/>
    </row>
    <row r="3915" spans="1:19" ht="30" customHeight="1" x14ac:dyDescent="0.35">
      <c r="A3915" s="1119"/>
      <c r="B3915" s="908"/>
      <c r="C3915" s="908"/>
      <c r="D3915" s="908"/>
      <c r="E3915" s="180"/>
      <c r="F3915" s="897"/>
      <c r="G3915" s="897"/>
      <c r="H3915" s="897"/>
      <c r="I3915" s="1094"/>
      <c r="J3915" s="897" t="s">
        <v>37</v>
      </c>
      <c r="K3915" s="1095">
        <f>+K3912*K3913/K3914</f>
        <v>2647.8537037037036</v>
      </c>
      <c r="L3915" s="897" t="s">
        <v>40</v>
      </c>
      <c r="M3915" s="50"/>
      <c r="N3915" s="50"/>
      <c r="O3915" s="5"/>
      <c r="P3915" s="9"/>
      <c r="Q3915" s="34"/>
      <c r="R3915" s="5"/>
      <c r="S3915" s="35"/>
    </row>
    <row r="3916" spans="1:19" ht="30" customHeight="1" x14ac:dyDescent="0.35">
      <c r="A3916" s="1425" t="s">
        <v>1700</v>
      </c>
      <c r="B3916" s="1425"/>
      <c r="C3916" s="1425"/>
      <c r="D3916" s="1425"/>
      <c r="E3916" s="901"/>
      <c r="F3916" s="901"/>
      <c r="G3916" s="1768" t="s">
        <v>257</v>
      </c>
      <c r="H3916" s="1769"/>
      <c r="I3916" s="1770"/>
      <c r="J3916" s="1085">
        <f>VLOOKUP(B3905,'Mil Cost Premiums for PUCs'!$A$4:$R$285,18,FALSE)</f>
        <v>1.0905505199999999</v>
      </c>
      <c r="K3916" s="181">
        <f>+K3915*J3916</f>
        <v>2887.6182334579994</v>
      </c>
      <c r="L3916" s="897" t="s">
        <v>40</v>
      </c>
      <c r="M3916" s="50"/>
      <c r="N3916" s="50"/>
      <c r="O3916" s="5"/>
      <c r="P3916" s="9"/>
      <c r="Q3916" s="34"/>
      <c r="R3916" s="5"/>
      <c r="S3916" s="35"/>
    </row>
    <row r="3917" spans="1:19" ht="30" customHeight="1" x14ac:dyDescent="0.35">
      <c r="A3917" s="904"/>
      <c r="B3917" s="904"/>
      <c r="C3917" s="905"/>
      <c r="D3917" s="905"/>
      <c r="E3917" s="905"/>
      <c r="F3917" s="1415" t="s">
        <v>277</v>
      </c>
      <c r="G3917" s="1415"/>
      <c r="H3917" s="1415"/>
      <c r="I3917" s="1415"/>
      <c r="J3917" s="1086">
        <v>1.0833999999999999</v>
      </c>
      <c r="K3917" s="1087">
        <f>K3916*J3917</f>
        <v>3128.4455941283964</v>
      </c>
      <c r="L3917" s="904" t="s">
        <v>40</v>
      </c>
      <c r="M3917" s="50"/>
      <c r="N3917" s="50"/>
      <c r="O3917" s="5"/>
      <c r="P3917" s="9"/>
      <c r="Q3917" s="34"/>
      <c r="R3917" s="5"/>
      <c r="S3917" s="35"/>
    </row>
    <row r="3918" spans="1:19" ht="30" customHeight="1" x14ac:dyDescent="0.35">
      <c r="A3918" s="569"/>
      <c r="B3918" s="569"/>
      <c r="C3918" s="510"/>
      <c r="D3918" s="510"/>
      <c r="E3918" s="510"/>
      <c r="F3918" s="510"/>
      <c r="G3918" s="1737" t="s">
        <v>2817</v>
      </c>
      <c r="H3918" s="1738"/>
      <c r="I3918" s="1739"/>
      <c r="J3918" s="570">
        <v>1.1214</v>
      </c>
      <c r="K3918" s="285">
        <f>+K3917*J3918</f>
        <v>3508.2388892555837</v>
      </c>
      <c r="L3918" s="904" t="s">
        <v>40</v>
      </c>
      <c r="M3918" s="50"/>
      <c r="N3918" s="50"/>
      <c r="O3918" s="5"/>
      <c r="P3918" s="9"/>
      <c r="Q3918" s="34"/>
      <c r="R3918" s="5"/>
      <c r="S3918" s="35"/>
    </row>
    <row r="3919" spans="1:19" ht="30" customHeight="1" thickBot="1" x14ac:dyDescent="0.4">
      <c r="A3919" s="569"/>
      <c r="B3919" s="569"/>
      <c r="C3919" s="510"/>
      <c r="D3919" s="510"/>
      <c r="E3919" s="510"/>
      <c r="F3919" s="510"/>
      <c r="G3919" s="1191" t="s">
        <v>3000</v>
      </c>
      <c r="H3919" s="1192"/>
      <c r="I3919" s="1193"/>
      <c r="J3919" s="570">
        <v>1.0438745311870361</v>
      </c>
      <c r="K3919" s="285">
        <f>+K3918*J3919</f>
        <v>3662.1612258138007</v>
      </c>
      <c r="L3919" s="904" t="s">
        <v>40</v>
      </c>
      <c r="M3919" s="50"/>
      <c r="N3919" s="50"/>
      <c r="O3919" s="5"/>
      <c r="P3919" s="9"/>
    </row>
    <row r="3920" spans="1:19" ht="30" customHeight="1" thickBot="1" x14ac:dyDescent="0.4">
      <c r="A3920" s="1429"/>
      <c r="B3920" s="1430"/>
      <c r="C3920" s="1430"/>
      <c r="D3920" s="1430"/>
      <c r="E3920" s="1430"/>
      <c r="F3920" s="1430"/>
      <c r="G3920" s="1430"/>
      <c r="H3920" s="1430"/>
      <c r="I3920" s="1430"/>
      <c r="J3920" s="1430"/>
      <c r="K3920" s="1430"/>
      <c r="L3920" s="1431"/>
      <c r="N3920" s="50"/>
      <c r="P3920" s="9"/>
    </row>
    <row r="3921" spans="1:19" ht="30" customHeight="1" x14ac:dyDescent="0.35">
      <c r="A3921" s="455" t="s">
        <v>1</v>
      </c>
      <c r="B3921" s="439">
        <v>8211</v>
      </c>
      <c r="C3921" s="1658" t="s">
        <v>1701</v>
      </c>
      <c r="D3921" s="1659"/>
      <c r="E3921" s="456" t="s">
        <v>3</v>
      </c>
      <c r="F3921" s="457" t="s">
        <v>1702</v>
      </c>
      <c r="G3921" s="468" t="s">
        <v>38</v>
      </c>
      <c r="H3921" s="47">
        <v>19355911</v>
      </c>
      <c r="I3921" s="456" t="s">
        <v>5</v>
      </c>
      <c r="J3921" s="1411" t="s">
        <v>186</v>
      </c>
      <c r="K3921" s="1411"/>
      <c r="L3921" s="1412"/>
      <c r="M3921" s="327"/>
      <c r="N3921" s="50"/>
      <c r="O3921" s="16"/>
      <c r="P3921" s="9"/>
    </row>
    <row r="3922" spans="1:19" ht="30" customHeight="1" x14ac:dyDescent="0.35">
      <c r="A3922" s="494" t="s">
        <v>187</v>
      </c>
      <c r="B3922" s="1280" t="s">
        <v>1703</v>
      </c>
      <c r="C3922" s="1281"/>
      <c r="D3922" s="1282"/>
      <c r="E3922" s="566" t="s">
        <v>52</v>
      </c>
      <c r="F3922" s="566" t="s">
        <v>53</v>
      </c>
      <c r="G3922" s="1219" t="s">
        <v>54</v>
      </c>
      <c r="H3922" s="1220"/>
      <c r="I3922" s="185" t="s">
        <v>188</v>
      </c>
      <c r="J3922" s="185"/>
      <c r="K3922" s="399" t="s">
        <v>180</v>
      </c>
      <c r="L3922" s="400"/>
      <c r="M3922" s="183"/>
      <c r="N3922" s="50"/>
      <c r="O3922" s="16"/>
      <c r="P3922" s="9"/>
    </row>
    <row r="3923" spans="1:19" ht="30" customHeight="1" x14ac:dyDescent="0.35">
      <c r="A3923" s="186"/>
      <c r="B3923" s="1202" t="s">
        <v>1704</v>
      </c>
      <c r="C3923" s="1203"/>
      <c r="D3923" s="1204"/>
      <c r="E3923" s="1120">
        <v>33479</v>
      </c>
      <c r="F3923" s="422" t="s">
        <v>1705</v>
      </c>
      <c r="G3923" s="874">
        <f>+H3921/E3923</f>
        <v>578.15081095612175</v>
      </c>
      <c r="H3923" s="1502" t="s">
        <v>1706</v>
      </c>
      <c r="I3923" s="1503"/>
      <c r="J3923" s="503"/>
      <c r="K3923" s="422"/>
      <c r="L3923" s="422"/>
      <c r="M3923" s="50"/>
      <c r="P3923" s="9"/>
    </row>
    <row r="3924" spans="1:19" ht="30" customHeight="1" x14ac:dyDescent="0.35">
      <c r="A3924" s="985" t="s">
        <v>450</v>
      </c>
      <c r="B3924" s="1212" t="s">
        <v>2463</v>
      </c>
      <c r="C3924" s="1213"/>
      <c r="D3924" s="1214"/>
      <c r="E3924" s="7">
        <f>(391+530)/2</f>
        <v>460.5</v>
      </c>
      <c r="F3924" s="422" t="s">
        <v>1707</v>
      </c>
      <c r="G3924" s="874"/>
      <c r="H3924" s="708"/>
      <c r="I3924" s="186"/>
      <c r="J3924" s="186"/>
      <c r="K3924" s="733"/>
      <c r="L3924" s="422"/>
      <c r="M3924" s="50"/>
      <c r="N3924" s="50"/>
      <c r="P3924" s="9"/>
    </row>
    <row r="3925" spans="1:19" ht="30" customHeight="1" x14ac:dyDescent="0.35">
      <c r="A3925" s="985"/>
      <c r="B3925" s="1212" t="s">
        <v>1708</v>
      </c>
      <c r="C3925" s="1213"/>
      <c r="D3925" s="1214"/>
      <c r="E3925" s="7"/>
      <c r="F3925" s="422" t="s">
        <v>1709</v>
      </c>
      <c r="G3925" s="1121">
        <f>+E3924/E3923</f>
        <v>1.3754891125780339E-2</v>
      </c>
      <c r="H3925" s="708" t="s">
        <v>1710</v>
      </c>
      <c r="I3925" s="186">
        <v>1.24</v>
      </c>
      <c r="J3925" s="186"/>
      <c r="K3925" s="1122">
        <f>+G3925*I3925</f>
        <v>1.705606499596762E-2</v>
      </c>
      <c r="L3925" s="422" t="s">
        <v>1702</v>
      </c>
      <c r="M3925" s="50"/>
      <c r="N3925" s="50"/>
      <c r="P3925" s="9"/>
    </row>
    <row r="3926" spans="1:19" ht="30" customHeight="1" x14ac:dyDescent="0.35">
      <c r="A3926" s="985" t="s">
        <v>1711</v>
      </c>
      <c r="B3926" s="1212" t="s">
        <v>1712</v>
      </c>
      <c r="C3926" s="1213"/>
      <c r="D3926" s="1214"/>
      <c r="E3926" s="7">
        <v>745</v>
      </c>
      <c r="F3926" s="422" t="s">
        <v>28</v>
      </c>
      <c r="G3926" s="1123">
        <f>30*E3926/H3921</f>
        <v>1.154686028469546E-3</v>
      </c>
      <c r="H3926" s="708" t="s">
        <v>1710</v>
      </c>
      <c r="I3926" s="186">
        <v>1.24</v>
      </c>
      <c r="J3926" s="186"/>
      <c r="K3926" s="1122">
        <f>+G3926*I3926</f>
        <v>1.431810675302237E-3</v>
      </c>
      <c r="L3926" s="422" t="s">
        <v>1702</v>
      </c>
      <c r="M3926" s="50"/>
      <c r="N3926" s="50"/>
      <c r="P3926" s="9"/>
    </row>
    <row r="3927" spans="1:19" ht="30" customHeight="1" x14ac:dyDescent="0.35">
      <c r="A3927" s="186"/>
      <c r="B3927" s="1274"/>
      <c r="C3927" s="1275"/>
      <c r="D3927" s="1276"/>
      <c r="E3927" s="503"/>
      <c r="F3927" s="503"/>
      <c r="G3927" s="503"/>
      <c r="H3927" s="503"/>
      <c r="I3927" s="503"/>
      <c r="J3927" s="186" t="s">
        <v>223</v>
      </c>
      <c r="K3927" s="1122">
        <f>SUM(K3925:K3926)</f>
        <v>1.8487875671269857E-2</v>
      </c>
      <c r="L3927" s="422" t="s">
        <v>1702</v>
      </c>
      <c r="M3927" s="50"/>
      <c r="N3927" s="50"/>
      <c r="P3927" s="9"/>
      <c r="Q3927" s="34"/>
      <c r="R3927" s="5"/>
      <c r="S3927" s="35"/>
    </row>
    <row r="3928" spans="1:19" ht="30" customHeight="1" x14ac:dyDescent="0.35">
      <c r="A3928" s="186"/>
      <c r="B3928" s="567"/>
      <c r="C3928" s="567"/>
      <c r="D3928" s="567"/>
      <c r="E3928" s="194"/>
      <c r="F3928" s="1215" t="s">
        <v>195</v>
      </c>
      <c r="G3928" s="1273" t="s">
        <v>196</v>
      </c>
      <c r="H3928" s="1273"/>
      <c r="I3928" s="1273"/>
      <c r="J3928" s="1273"/>
      <c r="K3928" s="197">
        <v>1.06</v>
      </c>
      <c r="L3928" s="186"/>
      <c r="M3928" s="51"/>
      <c r="N3928" s="50"/>
      <c r="P3928" s="9"/>
      <c r="Q3928" s="34"/>
      <c r="R3928" s="5"/>
      <c r="S3928" s="35"/>
    </row>
    <row r="3929" spans="1:19" ht="30" customHeight="1" x14ac:dyDescent="0.35">
      <c r="A3929" s="186"/>
      <c r="B3929" s="567"/>
      <c r="C3929" s="567"/>
      <c r="D3929" s="567"/>
      <c r="E3929" s="194"/>
      <c r="F3929" s="1216"/>
      <c r="G3929" s="1268" t="s">
        <v>197</v>
      </c>
      <c r="H3929" s="1268"/>
      <c r="I3929" s="1268"/>
      <c r="J3929" s="1268"/>
      <c r="K3929" s="197">
        <v>1.06</v>
      </c>
      <c r="L3929" s="186"/>
      <c r="M3929" s="50"/>
      <c r="N3929" s="50"/>
      <c r="O3929" s="14"/>
      <c r="P3929" s="9"/>
      <c r="Q3929" s="34"/>
      <c r="R3929" s="5"/>
      <c r="S3929" s="35"/>
    </row>
    <row r="3930" spans="1:19" ht="30" customHeight="1" x14ac:dyDescent="0.35">
      <c r="A3930" s="186"/>
      <c r="B3930" s="1212" t="s">
        <v>1713</v>
      </c>
      <c r="C3930" s="1213"/>
      <c r="D3930" s="1214"/>
      <c r="E3930" s="503"/>
      <c r="F3930" s="503"/>
      <c r="G3930" s="503"/>
      <c r="H3930" s="503"/>
      <c r="I3930" s="503"/>
      <c r="J3930" s="186" t="s">
        <v>37</v>
      </c>
      <c r="K3930" s="1124">
        <f>+K3927*K3928/K3929</f>
        <v>1.8487875671269857E-2</v>
      </c>
      <c r="L3930" s="422" t="s">
        <v>1702</v>
      </c>
      <c r="M3930" s="50"/>
      <c r="N3930" s="50"/>
    </row>
    <row r="3931" spans="1:19" ht="30" customHeight="1" x14ac:dyDescent="0.35">
      <c r="A3931" s="186" t="s">
        <v>54</v>
      </c>
      <c r="B3931" s="1202" t="s">
        <v>1704</v>
      </c>
      <c r="C3931" s="1203"/>
      <c r="D3931" s="1204"/>
      <c r="E3931" s="1120">
        <v>33475</v>
      </c>
      <c r="F3931" s="422" t="s">
        <v>1705</v>
      </c>
      <c r="G3931" s="153">
        <f>H3921/E3931</f>
        <v>578.21989544436144</v>
      </c>
      <c r="H3931" s="1468" t="s">
        <v>1706</v>
      </c>
      <c r="I3931" s="1469"/>
      <c r="J3931" s="186"/>
      <c r="K3931" s="1125"/>
      <c r="L3931" s="422"/>
      <c r="M3931" s="50"/>
      <c r="N3931" s="50"/>
      <c r="O3931" s="5"/>
      <c r="P3931" s="9"/>
      <c r="Q3931" s="34"/>
      <c r="R3931" s="5"/>
      <c r="S3931" s="35"/>
    </row>
    <row r="3932" spans="1:19" ht="30" customHeight="1" x14ac:dyDescent="0.35">
      <c r="A3932" s="186"/>
      <c r="B3932" s="1274"/>
      <c r="C3932" s="1275"/>
      <c r="D3932" s="1276"/>
      <c r="E3932" s="503"/>
      <c r="F3932" s="503"/>
      <c r="G3932" s="1374" t="s">
        <v>257</v>
      </c>
      <c r="H3932" s="1375"/>
      <c r="I3932" s="1376"/>
      <c r="J3932" s="560">
        <f>VLOOKUP(B3921,'Mil Cost Premiums for PUCs'!$A$4:$R$285,18,FALSE)</f>
        <v>1.0905505199999999</v>
      </c>
      <c r="K3932" s="1126">
        <f>+K3930*J3932</f>
        <v>2.0161962426998688E-2</v>
      </c>
      <c r="L3932" s="186" t="s">
        <v>1702</v>
      </c>
      <c r="M3932" s="50"/>
      <c r="N3932" s="50"/>
      <c r="O3932" s="14"/>
      <c r="P3932" s="9"/>
      <c r="Q3932" s="34"/>
      <c r="R3932" s="5"/>
      <c r="S3932" s="35"/>
    </row>
    <row r="3933" spans="1:19" ht="30" customHeight="1" x14ac:dyDescent="0.35">
      <c r="A3933" s="569"/>
      <c r="B3933" s="569"/>
      <c r="C3933" s="510"/>
      <c r="D3933" s="510"/>
      <c r="E3933" s="510"/>
      <c r="F3933" s="510"/>
      <c r="G3933" s="1737" t="s">
        <v>2817</v>
      </c>
      <c r="H3933" s="1738"/>
      <c r="I3933" s="1739"/>
      <c r="J3933" s="570">
        <v>1.1214</v>
      </c>
      <c r="K3933" s="1179">
        <f>+K3932*J3933</f>
        <v>2.2609624665636329E-2</v>
      </c>
      <c r="L3933" s="186" t="s">
        <v>1702</v>
      </c>
      <c r="M3933" s="50"/>
      <c r="N3933" s="50"/>
      <c r="P3933" s="9"/>
      <c r="Q3933" s="34"/>
      <c r="R3933" s="5"/>
      <c r="S3933" s="35"/>
    </row>
    <row r="3934" spans="1:19" ht="30" customHeight="1" x14ac:dyDescent="0.35">
      <c r="A3934" s="569"/>
      <c r="B3934" s="569"/>
      <c r="C3934" s="510"/>
      <c r="D3934" s="510"/>
      <c r="E3934" s="510"/>
      <c r="F3934" s="510"/>
      <c r="G3934" s="1191" t="s">
        <v>3000</v>
      </c>
      <c r="H3934" s="1192"/>
      <c r="I3934" s="1193"/>
      <c r="J3934" s="570">
        <v>1.0438745311870361</v>
      </c>
      <c r="K3934" s="358">
        <f>+K3933*J3934</f>
        <v>2.3601611348155971E-2</v>
      </c>
      <c r="L3934" s="186" t="s">
        <v>1702</v>
      </c>
      <c r="M3934" s="50"/>
      <c r="N3934" s="50"/>
      <c r="P3934" s="9"/>
      <c r="Q3934" s="34"/>
      <c r="R3934" s="5"/>
      <c r="S3934" s="35"/>
    </row>
    <row r="3935" spans="1:19" ht="30" customHeight="1" x14ac:dyDescent="0.35">
      <c r="A3935" s="1274" t="s">
        <v>198</v>
      </c>
      <c r="B3935" s="1275"/>
      <c r="C3935" s="1275"/>
      <c r="D3935" s="1275"/>
      <c r="E3935" s="1275"/>
      <c r="F3935" s="1275"/>
      <c r="G3935" s="1275"/>
      <c r="H3935" s="1275"/>
      <c r="I3935" s="1275"/>
      <c r="J3935" s="1275"/>
      <c r="K3935" s="1275"/>
      <c r="L3935" s="1276"/>
      <c r="M3935" s="50"/>
      <c r="P3935" s="9"/>
      <c r="Q3935" s="34"/>
      <c r="R3935" s="5"/>
      <c r="S3935" s="35"/>
    </row>
    <row r="3936" spans="1:19" ht="30" customHeight="1" x14ac:dyDescent="0.35">
      <c r="A3936" s="1389" t="s">
        <v>199</v>
      </c>
      <c r="B3936" s="1390"/>
      <c r="C3936" s="1391"/>
      <c r="D3936" s="1274" t="s">
        <v>2452</v>
      </c>
      <c r="E3936" s="1275"/>
      <c r="F3936" s="1275"/>
      <c r="G3936" s="1275"/>
      <c r="H3936" s="1275"/>
      <c r="I3936" s="1275"/>
      <c r="J3936" s="1275"/>
      <c r="K3936" s="1275"/>
      <c r="L3936" s="1276"/>
      <c r="M3936" s="112"/>
      <c r="N3936" s="50"/>
      <c r="O3936" s="5"/>
      <c r="P3936" s="9"/>
      <c r="Q3936" s="34"/>
      <c r="R3936" s="5"/>
      <c r="S3936" s="35"/>
    </row>
    <row r="3937" spans="1:19" ht="30" customHeight="1" x14ac:dyDescent="0.35">
      <c r="A3937" s="1389" t="s">
        <v>200</v>
      </c>
      <c r="B3937" s="1390"/>
      <c r="C3937" s="1391"/>
      <c r="D3937" s="1274" t="s">
        <v>1714</v>
      </c>
      <c r="E3937" s="1275"/>
      <c r="F3937" s="1275"/>
      <c r="G3937" s="1275"/>
      <c r="H3937" s="1275"/>
      <c r="I3937" s="1275"/>
      <c r="J3937" s="1275"/>
      <c r="K3937" s="1275"/>
      <c r="L3937" s="1276"/>
      <c r="M3937" s="50"/>
      <c r="N3937" s="50"/>
      <c r="O3937" s="5"/>
      <c r="P3937" s="9"/>
      <c r="Q3937" s="34"/>
      <c r="R3937" s="5"/>
      <c r="S3937" s="35"/>
    </row>
    <row r="3938" spans="1:19" ht="30" customHeight="1" x14ac:dyDescent="0.35">
      <c r="A3938" s="1389" t="s">
        <v>201</v>
      </c>
      <c r="B3938" s="1390"/>
      <c r="C3938" s="1391"/>
      <c r="D3938" s="1274" t="s">
        <v>1715</v>
      </c>
      <c r="E3938" s="1275"/>
      <c r="F3938" s="1275"/>
      <c r="G3938" s="1275"/>
      <c r="H3938" s="1275"/>
      <c r="I3938" s="1275"/>
      <c r="J3938" s="1275"/>
      <c r="K3938" s="1275"/>
      <c r="L3938" s="1276"/>
      <c r="M3938" s="50"/>
      <c r="N3938" s="50"/>
      <c r="O3938" s="5"/>
      <c r="P3938" s="9"/>
      <c r="Q3938" s="34"/>
      <c r="R3938" s="5"/>
      <c r="S3938" s="35"/>
    </row>
    <row r="3939" spans="1:19" ht="30" customHeight="1" x14ac:dyDescent="0.35">
      <c r="A3939" s="1389" t="s">
        <v>202</v>
      </c>
      <c r="B3939" s="1390"/>
      <c r="C3939" s="1391"/>
      <c r="D3939" s="1274" t="s">
        <v>1716</v>
      </c>
      <c r="E3939" s="1275"/>
      <c r="F3939" s="1275"/>
      <c r="G3939" s="1275"/>
      <c r="H3939" s="1275"/>
      <c r="I3939" s="1275"/>
      <c r="J3939" s="1275"/>
      <c r="K3939" s="1275"/>
      <c r="L3939" s="1276"/>
      <c r="M3939" s="96"/>
      <c r="N3939" s="50"/>
      <c r="O3939" s="5"/>
      <c r="P3939" s="9"/>
      <c r="Q3939" s="34"/>
      <c r="R3939" s="5"/>
      <c r="S3939" s="35"/>
    </row>
    <row r="3940" spans="1:19" ht="30" customHeight="1" x14ac:dyDescent="0.35">
      <c r="A3940" s="1389" t="s">
        <v>203</v>
      </c>
      <c r="B3940" s="1390"/>
      <c r="C3940" s="1391"/>
      <c r="D3940" s="1274" t="s">
        <v>1717</v>
      </c>
      <c r="E3940" s="1275"/>
      <c r="F3940" s="1275"/>
      <c r="G3940" s="1275"/>
      <c r="H3940" s="1275"/>
      <c r="I3940" s="1275"/>
      <c r="J3940" s="1275"/>
      <c r="K3940" s="1275"/>
      <c r="L3940" s="1276"/>
      <c r="M3940" s="50"/>
      <c r="N3940" s="50"/>
      <c r="O3940" s="5"/>
      <c r="P3940" s="9"/>
      <c r="Q3940" s="34"/>
      <c r="R3940" s="5"/>
      <c r="S3940" s="35"/>
    </row>
    <row r="3941" spans="1:19" ht="30" customHeight="1" x14ac:dyDescent="0.35">
      <c r="A3941" s="1389" t="s">
        <v>205</v>
      </c>
      <c r="B3941" s="1390"/>
      <c r="C3941" s="1391"/>
      <c r="D3941" s="1274" t="s">
        <v>1718</v>
      </c>
      <c r="E3941" s="1275"/>
      <c r="F3941" s="1275"/>
      <c r="G3941" s="1275"/>
      <c r="H3941" s="1275"/>
      <c r="I3941" s="1275"/>
      <c r="J3941" s="1275"/>
      <c r="K3941" s="1275"/>
      <c r="L3941" s="1276"/>
      <c r="M3941" s="50"/>
      <c r="N3941" s="50"/>
      <c r="O3941" s="5"/>
      <c r="P3941" s="9"/>
      <c r="Q3941" s="34"/>
      <c r="R3941" s="5"/>
      <c r="S3941" s="35"/>
    </row>
    <row r="3942" spans="1:19" ht="30" customHeight="1" x14ac:dyDescent="0.35">
      <c r="A3942" s="1389" t="s">
        <v>207</v>
      </c>
      <c r="B3942" s="1390"/>
      <c r="C3942" s="1391"/>
      <c r="D3942" s="1274" t="s">
        <v>1719</v>
      </c>
      <c r="E3942" s="1275"/>
      <c r="F3942" s="1275"/>
      <c r="G3942" s="1275"/>
      <c r="H3942" s="1275"/>
      <c r="I3942" s="1275"/>
      <c r="J3942" s="1275"/>
      <c r="K3942" s="1275"/>
      <c r="L3942" s="1276"/>
      <c r="M3942" s="50"/>
      <c r="N3942" s="50"/>
      <c r="O3942" s="5"/>
      <c r="P3942" s="9"/>
      <c r="Q3942" s="34"/>
      <c r="R3942" s="5"/>
      <c r="S3942" s="35"/>
    </row>
    <row r="3943" spans="1:19" ht="30" customHeight="1" x14ac:dyDescent="0.35">
      <c r="A3943" s="1389" t="s">
        <v>208</v>
      </c>
      <c r="B3943" s="1390"/>
      <c r="C3943" s="1391"/>
      <c r="D3943" s="1274" t="s">
        <v>265</v>
      </c>
      <c r="E3943" s="1275"/>
      <c r="F3943" s="1275"/>
      <c r="G3943" s="1275"/>
      <c r="H3943" s="1275"/>
      <c r="I3943" s="1275"/>
      <c r="J3943" s="1275"/>
      <c r="K3943" s="1275"/>
      <c r="L3943" s="1276"/>
      <c r="M3943" s="50"/>
      <c r="N3943" s="50"/>
      <c r="O3943" s="16"/>
      <c r="P3943" s="9"/>
      <c r="Q3943" s="34"/>
      <c r="R3943" s="5"/>
      <c r="S3943" s="35"/>
    </row>
    <row r="3944" spans="1:19" ht="30" customHeight="1" thickBot="1" x14ac:dyDescent="0.4">
      <c r="A3944" s="1605" t="s">
        <v>224</v>
      </c>
      <c r="B3944" s="1606"/>
      <c r="C3944" s="1607"/>
      <c r="D3944" s="1553" t="s">
        <v>2453</v>
      </c>
      <c r="E3944" s="1554"/>
      <c r="F3944" s="1554"/>
      <c r="G3944" s="1554"/>
      <c r="H3944" s="1554"/>
      <c r="I3944" s="1554"/>
      <c r="J3944" s="1554"/>
      <c r="K3944" s="1554"/>
      <c r="L3944" s="1555"/>
      <c r="M3944" s="50"/>
      <c r="N3944" s="50"/>
      <c r="O3944" s="16"/>
      <c r="P3944" s="9"/>
      <c r="Q3944" s="34"/>
      <c r="R3944" s="5"/>
      <c r="S3944" s="35"/>
    </row>
    <row r="3945" spans="1:19" ht="30" customHeight="1" thickBot="1" x14ac:dyDescent="0.4">
      <c r="A3945" s="1199"/>
      <c r="B3945" s="1200"/>
      <c r="C3945" s="1200"/>
      <c r="D3945" s="1200"/>
      <c r="E3945" s="1200"/>
      <c r="F3945" s="1200"/>
      <c r="G3945" s="1200"/>
      <c r="H3945" s="1200"/>
      <c r="I3945" s="1200"/>
      <c r="J3945" s="1200"/>
      <c r="K3945" s="1200"/>
      <c r="L3945" s="1201"/>
      <c r="M3945" s="50"/>
      <c r="N3945" s="50"/>
      <c r="O3945" s="5"/>
      <c r="P3945" s="9"/>
      <c r="Q3945" s="34"/>
      <c r="R3945" s="5"/>
      <c r="S3945" s="35"/>
    </row>
    <row r="3946" spans="1:19" ht="30" customHeight="1" x14ac:dyDescent="0.35">
      <c r="A3946" s="388" t="s">
        <v>1</v>
      </c>
      <c r="B3946" s="389">
        <v>8221</v>
      </c>
      <c r="C3946" s="1290" t="s">
        <v>1720</v>
      </c>
      <c r="D3946" s="1291"/>
      <c r="E3946" s="392" t="s">
        <v>3</v>
      </c>
      <c r="F3946" s="393" t="s">
        <v>28</v>
      </c>
      <c r="G3946" s="390" t="s">
        <v>38</v>
      </c>
      <c r="H3946" s="135">
        <v>16068.233938461501</v>
      </c>
      <c r="I3946" s="392" t="s">
        <v>5</v>
      </c>
      <c r="J3946" s="1207" t="s">
        <v>2538</v>
      </c>
      <c r="K3946" s="1207"/>
      <c r="L3946" s="1208"/>
      <c r="M3946" s="96"/>
      <c r="N3946" s="50"/>
      <c r="O3946" s="5"/>
      <c r="P3946" s="9"/>
      <c r="Q3946" s="34"/>
      <c r="R3946" s="5"/>
      <c r="S3946" s="35"/>
    </row>
    <row r="3947" spans="1:19" ht="30" customHeight="1" x14ac:dyDescent="0.35">
      <c r="A3947" s="185" t="s">
        <v>177</v>
      </c>
      <c r="B3947" s="1272" t="s">
        <v>7</v>
      </c>
      <c r="C3947" s="1272"/>
      <c r="D3947" s="1272"/>
      <c r="E3947" s="397" t="s">
        <v>1630</v>
      </c>
      <c r="F3947" s="185" t="s">
        <v>178</v>
      </c>
      <c r="G3947" s="1292" t="s">
        <v>54</v>
      </c>
      <c r="H3947" s="1293"/>
      <c r="I3947" s="1221" t="s">
        <v>185</v>
      </c>
      <c r="J3947" s="1222"/>
      <c r="K3947" s="399" t="s">
        <v>180</v>
      </c>
      <c r="L3947" s="400"/>
      <c r="M3947" s="96"/>
      <c r="N3947" s="50"/>
      <c r="O3947" s="5"/>
      <c r="P3947" s="9"/>
      <c r="Q3947" s="34"/>
      <c r="R3947" s="5"/>
      <c r="S3947" s="35"/>
    </row>
    <row r="3948" spans="1:19" ht="30" customHeight="1" x14ac:dyDescent="0.35">
      <c r="A3948" s="186">
        <v>82210</v>
      </c>
      <c r="B3948" s="1212" t="s">
        <v>1721</v>
      </c>
      <c r="C3948" s="1213"/>
      <c r="D3948" s="1213"/>
      <c r="E3948" s="1213"/>
      <c r="F3948" s="1213"/>
      <c r="G3948" s="1213"/>
      <c r="H3948" s="1213"/>
      <c r="I3948" s="1213"/>
      <c r="J3948" s="1213"/>
      <c r="K3948" s="1213"/>
      <c r="L3948" s="1214"/>
      <c r="M3948" s="50"/>
      <c r="N3948" s="50"/>
      <c r="O3948" s="5"/>
      <c r="P3948" s="9"/>
      <c r="Q3948" s="34"/>
      <c r="R3948" s="5"/>
      <c r="S3948" s="35"/>
    </row>
    <row r="3949" spans="1:19" ht="30" customHeight="1" x14ac:dyDescent="0.35">
      <c r="A3949" s="186"/>
      <c r="B3949" s="1212" t="s">
        <v>1722</v>
      </c>
      <c r="C3949" s="1213"/>
      <c r="D3949" s="1214"/>
      <c r="E3949" s="194">
        <v>1051.3599999999999</v>
      </c>
      <c r="F3949" s="203" t="s">
        <v>1096</v>
      </c>
      <c r="G3949" s="127"/>
      <c r="H3949" s="136"/>
      <c r="I3949" s="1307">
        <f>+'FY2024 MILCON Inflation Table'!F22</f>
        <v>0.95834826759383673</v>
      </c>
      <c r="J3949" s="1308"/>
      <c r="K3949" s="199">
        <f>+E3949*I3949</f>
        <v>1007.5690346174561</v>
      </c>
      <c r="L3949" s="186" t="s">
        <v>28</v>
      </c>
      <c r="M3949" s="50"/>
      <c r="N3949" s="50"/>
      <c r="O3949" s="5"/>
      <c r="P3949" s="9"/>
      <c r="Q3949" s="34"/>
      <c r="R3949" s="5"/>
      <c r="S3949" s="35"/>
    </row>
    <row r="3950" spans="1:19" ht="30" customHeight="1" x14ac:dyDescent="0.35">
      <c r="A3950" s="186"/>
      <c r="B3950" s="1212" t="s">
        <v>2593</v>
      </c>
      <c r="C3950" s="1213"/>
      <c r="D3950" s="1214"/>
      <c r="E3950" s="194">
        <v>1224.55</v>
      </c>
      <c r="F3950" s="203" t="s">
        <v>1096</v>
      </c>
      <c r="G3950" s="127"/>
      <c r="H3950" s="136"/>
      <c r="I3950" s="1307">
        <f>+I3949</f>
        <v>0.95834826759383673</v>
      </c>
      <c r="J3950" s="1308"/>
      <c r="K3950" s="199">
        <f>+E3950*I3950</f>
        <v>1173.5453710820327</v>
      </c>
      <c r="L3950" s="186" t="s">
        <v>28</v>
      </c>
      <c r="M3950" s="50"/>
      <c r="N3950" s="50"/>
      <c r="O3950" s="5"/>
      <c r="P3950" s="9"/>
      <c r="Q3950" s="34"/>
      <c r="R3950" s="5"/>
      <c r="S3950" s="35"/>
    </row>
    <row r="3951" spans="1:19" ht="30" customHeight="1" x14ac:dyDescent="0.35">
      <c r="A3951" s="186"/>
      <c r="B3951" s="1212" t="s">
        <v>2594</v>
      </c>
      <c r="C3951" s="1213"/>
      <c r="D3951" s="1214"/>
      <c r="E3951" s="194">
        <v>1635.63</v>
      </c>
      <c r="F3951" s="203" t="s">
        <v>1096</v>
      </c>
      <c r="G3951" s="127"/>
      <c r="H3951" s="136"/>
      <c r="I3951" s="1307">
        <f>+I3949</f>
        <v>0.95834826759383673</v>
      </c>
      <c r="J3951" s="1308"/>
      <c r="K3951" s="199">
        <f>+E3951*I3951</f>
        <v>1567.5031769245072</v>
      </c>
      <c r="L3951" s="186" t="s">
        <v>28</v>
      </c>
      <c r="M3951" s="50"/>
      <c r="N3951" s="50"/>
      <c r="O3951" s="5"/>
      <c r="P3951" s="9"/>
      <c r="Q3951" s="34"/>
      <c r="R3951" s="5"/>
      <c r="S3951" s="35"/>
    </row>
    <row r="3952" spans="1:19" ht="30" customHeight="1" x14ac:dyDescent="0.35">
      <c r="A3952" s="186"/>
      <c r="B3952" s="552"/>
      <c r="C3952" s="553"/>
      <c r="D3952" s="553"/>
      <c r="E3952" s="129"/>
      <c r="F3952" s="143"/>
      <c r="G3952" s="716"/>
      <c r="H3952" s="716"/>
      <c r="I3952" s="1604" t="s">
        <v>1723</v>
      </c>
      <c r="J3952" s="1604"/>
      <c r="K3952" s="199">
        <f>AVERAGE(K3949:K3951)</f>
        <v>1249.5391942079987</v>
      </c>
      <c r="L3952" s="186" t="s">
        <v>28</v>
      </c>
      <c r="M3952" s="50"/>
      <c r="N3952" s="50"/>
      <c r="O3952" s="5"/>
      <c r="P3952" s="9"/>
      <c r="Q3952" s="34"/>
      <c r="R3952" s="5"/>
      <c r="S3952" s="35"/>
    </row>
    <row r="3953" spans="1:19" ht="30" customHeight="1" x14ac:dyDescent="0.35">
      <c r="A3953" s="186">
        <v>82210</v>
      </c>
      <c r="B3953" s="1212" t="s">
        <v>1724</v>
      </c>
      <c r="C3953" s="1213"/>
      <c r="D3953" s="1213"/>
      <c r="E3953" s="1213"/>
      <c r="F3953" s="1213"/>
      <c r="G3953" s="1213"/>
      <c r="H3953" s="1213"/>
      <c r="I3953" s="1213"/>
      <c r="J3953" s="1213"/>
      <c r="K3953" s="1213"/>
      <c r="L3953" s="1214"/>
      <c r="M3953" s="50"/>
      <c r="N3953" s="50"/>
      <c r="O3953" s="5"/>
      <c r="P3953" s="9"/>
      <c r="Q3953" s="34"/>
      <c r="R3953" s="5"/>
      <c r="S3953" s="35"/>
    </row>
    <row r="3954" spans="1:19" ht="30" customHeight="1" x14ac:dyDescent="0.35">
      <c r="A3954" s="186"/>
      <c r="B3954" s="1212" t="s">
        <v>1725</v>
      </c>
      <c r="C3954" s="1213"/>
      <c r="D3954" s="1214"/>
      <c r="E3954" s="194">
        <v>801.08</v>
      </c>
      <c r="F3954" s="203" t="s">
        <v>1096</v>
      </c>
      <c r="G3954" s="127"/>
      <c r="H3954" s="136"/>
      <c r="I3954" s="1307">
        <f>+I3949</f>
        <v>0.95834826759383673</v>
      </c>
      <c r="J3954" s="1308"/>
      <c r="K3954" s="199">
        <f>+E3954*I3954</f>
        <v>767.7136302040708</v>
      </c>
      <c r="L3954" s="186" t="s">
        <v>28</v>
      </c>
      <c r="M3954" s="50"/>
      <c r="N3954" s="50"/>
      <c r="O3954" s="5"/>
      <c r="P3954" s="9"/>
      <c r="Q3954" s="34"/>
      <c r="R3954" s="5"/>
      <c r="S3954" s="35"/>
    </row>
    <row r="3955" spans="1:19" ht="30" customHeight="1" x14ac:dyDescent="0.35">
      <c r="A3955" s="186"/>
      <c r="B3955" s="1212" t="s">
        <v>1726</v>
      </c>
      <c r="C3955" s="1213"/>
      <c r="D3955" s="1214"/>
      <c r="E3955" s="194">
        <v>801.08</v>
      </c>
      <c r="F3955" s="203" t="s">
        <v>1096</v>
      </c>
      <c r="G3955" s="127"/>
      <c r="H3955" s="136"/>
      <c r="I3955" s="1307">
        <f>+I3949</f>
        <v>0.95834826759383673</v>
      </c>
      <c r="J3955" s="1308"/>
      <c r="K3955" s="199">
        <f>+E3955*I3955</f>
        <v>767.7136302040708</v>
      </c>
      <c r="L3955" s="186" t="s">
        <v>28</v>
      </c>
      <c r="M3955" s="50"/>
      <c r="N3955" s="50"/>
      <c r="O3955" s="5"/>
      <c r="P3955" s="9"/>
      <c r="Q3955" s="34"/>
      <c r="R3955" s="5"/>
      <c r="S3955" s="35"/>
    </row>
    <row r="3956" spans="1:19" ht="30" customHeight="1" x14ac:dyDescent="0.35">
      <c r="A3956" s="186"/>
      <c r="B3956" s="1211" t="s">
        <v>1727</v>
      </c>
      <c r="C3956" s="1211"/>
      <c r="D3956" s="1211"/>
      <c r="E3956" s="194">
        <v>903.61</v>
      </c>
      <c r="F3956" s="203" t="s">
        <v>1096</v>
      </c>
      <c r="G3956" s="127"/>
      <c r="H3956" s="136"/>
      <c r="I3956" s="1307">
        <f>+I3954</f>
        <v>0.95834826759383673</v>
      </c>
      <c r="J3956" s="1308"/>
      <c r="K3956" s="199">
        <f>+E3956*I3956</f>
        <v>865.97307808046685</v>
      </c>
      <c r="L3956" s="186" t="s">
        <v>28</v>
      </c>
      <c r="M3956" s="50"/>
      <c r="N3956" s="50"/>
    </row>
    <row r="3957" spans="1:19" ht="30" customHeight="1" x14ac:dyDescent="0.35">
      <c r="A3957" s="186"/>
      <c r="B3957" s="1211" t="s">
        <v>1728</v>
      </c>
      <c r="C3957" s="1211"/>
      <c r="D3957" s="1211"/>
      <c r="E3957" s="194">
        <v>947.2</v>
      </c>
      <c r="F3957" s="203" t="s">
        <v>1096</v>
      </c>
      <c r="G3957" s="127"/>
      <c r="H3957" s="136"/>
      <c r="I3957" s="1307">
        <f>+I3954</f>
        <v>0.95834826759383673</v>
      </c>
      <c r="J3957" s="1308"/>
      <c r="K3957" s="199">
        <f>+E3957*I3957</f>
        <v>907.74747906488221</v>
      </c>
      <c r="L3957" s="186" t="s">
        <v>28</v>
      </c>
      <c r="M3957" s="50"/>
      <c r="O3957" s="5"/>
      <c r="P3957" s="9"/>
      <c r="Q3957" s="34"/>
      <c r="R3957" s="5"/>
      <c r="S3957" s="35"/>
    </row>
    <row r="3958" spans="1:19" ht="30" customHeight="1" x14ac:dyDescent="0.35">
      <c r="A3958" s="186"/>
      <c r="B3958" s="1211" t="s">
        <v>1729</v>
      </c>
      <c r="C3958" s="1211"/>
      <c r="D3958" s="1211"/>
      <c r="E3958" s="194">
        <v>1215.19</v>
      </c>
      <c r="F3958" s="203" t="s">
        <v>1096</v>
      </c>
      <c r="G3958" s="127"/>
      <c r="H3958" s="136"/>
      <c r="I3958" s="1307">
        <f>+I3954</f>
        <v>0.95834826759383673</v>
      </c>
      <c r="J3958" s="1308"/>
      <c r="K3958" s="199">
        <f>+E3958*I3958</f>
        <v>1164.5752312973545</v>
      </c>
      <c r="L3958" s="186" t="s">
        <v>28</v>
      </c>
      <c r="M3958" s="50"/>
      <c r="N3958" s="50"/>
      <c r="O3958" s="5"/>
      <c r="P3958" s="9"/>
      <c r="Q3958" s="34"/>
      <c r="R3958" s="5"/>
      <c r="S3958" s="35"/>
    </row>
    <row r="3959" spans="1:19" ht="30" customHeight="1" x14ac:dyDescent="0.35">
      <c r="A3959" s="186"/>
      <c r="B3959" s="552"/>
      <c r="C3959" s="553"/>
      <c r="D3959" s="553"/>
      <c r="E3959" s="129"/>
      <c r="F3959" s="143"/>
      <c r="G3959" s="716"/>
      <c r="H3959" s="716"/>
      <c r="I3959" s="1576" t="s">
        <v>1730</v>
      </c>
      <c r="J3959" s="1576"/>
      <c r="K3959" s="268">
        <f>AVERAGE(K3954:K3958)</f>
        <v>894.74460977016895</v>
      </c>
      <c r="L3959" s="136" t="s">
        <v>28</v>
      </c>
      <c r="M3959" s="50"/>
      <c r="N3959" s="50"/>
      <c r="O3959" s="5"/>
      <c r="P3959" s="9"/>
      <c r="Q3959" s="34"/>
      <c r="R3959" s="5"/>
      <c r="S3959" s="35"/>
    </row>
    <row r="3960" spans="1:19" ht="30" customHeight="1" x14ac:dyDescent="0.35">
      <c r="A3960" s="186">
        <v>82220</v>
      </c>
      <c r="B3960" s="1212" t="s">
        <v>1731</v>
      </c>
      <c r="C3960" s="1213"/>
      <c r="D3960" s="1213"/>
      <c r="E3960" s="1213"/>
      <c r="F3960" s="1213"/>
      <c r="G3960" s="1213"/>
      <c r="H3960" s="1213"/>
      <c r="I3960" s="1213"/>
      <c r="J3960" s="1213"/>
      <c r="K3960" s="1213"/>
      <c r="L3960" s="1214"/>
      <c r="M3960" s="50"/>
      <c r="N3960" s="50"/>
      <c r="O3960" s="5"/>
      <c r="P3960" s="9"/>
      <c r="Q3960" s="34"/>
      <c r="R3960" s="5"/>
      <c r="S3960" s="35"/>
    </row>
    <row r="3961" spans="1:19" ht="30" customHeight="1" x14ac:dyDescent="0.35">
      <c r="A3961" s="186"/>
      <c r="B3961" s="1608" t="s">
        <v>2595</v>
      </c>
      <c r="C3961" s="1203"/>
      <c r="D3961" s="1204"/>
      <c r="E3961" s="194">
        <v>1111.83</v>
      </c>
      <c r="F3961" s="203" t="s">
        <v>1096</v>
      </c>
      <c r="G3961" s="127"/>
      <c r="H3961" s="136"/>
      <c r="I3961" s="1307">
        <f>+I3949</f>
        <v>0.95834826759383673</v>
      </c>
      <c r="J3961" s="1308"/>
      <c r="K3961" s="199">
        <f>+E3961*I3961</f>
        <v>1065.5203543588555</v>
      </c>
      <c r="L3961" s="186" t="s">
        <v>28</v>
      </c>
      <c r="M3961" s="50"/>
      <c r="N3961" s="50"/>
      <c r="O3961" s="5"/>
      <c r="P3961" s="9"/>
      <c r="Q3961" s="34"/>
      <c r="R3961" s="5"/>
      <c r="S3961" s="35"/>
    </row>
    <row r="3962" spans="1:19" ht="30" customHeight="1" x14ac:dyDescent="0.35">
      <c r="A3962" s="186"/>
      <c r="B3962" s="1608" t="s">
        <v>2596</v>
      </c>
      <c r="C3962" s="1203"/>
      <c r="D3962" s="1204"/>
      <c r="E3962" s="194">
        <v>954.34</v>
      </c>
      <c r="F3962" s="203" t="s">
        <v>1096</v>
      </c>
      <c r="G3962" s="127"/>
      <c r="H3962" s="136"/>
      <c r="I3962" s="1307">
        <f>+I3961</f>
        <v>0.95834826759383673</v>
      </c>
      <c r="J3962" s="1308"/>
      <c r="K3962" s="199">
        <f>+E3962*I3962</f>
        <v>914.59008569550213</v>
      </c>
      <c r="L3962" s="186" t="s">
        <v>28</v>
      </c>
      <c r="M3962" s="50"/>
      <c r="N3962" s="50"/>
      <c r="O3962" s="5"/>
      <c r="P3962" s="9"/>
      <c r="Q3962" s="34"/>
      <c r="R3962" s="5"/>
      <c r="S3962" s="35"/>
    </row>
    <row r="3963" spans="1:19" ht="30" customHeight="1" x14ac:dyDescent="0.35">
      <c r="A3963" s="186"/>
      <c r="B3963" s="1202" t="s">
        <v>2597</v>
      </c>
      <c r="C3963" s="1203"/>
      <c r="D3963" s="1204"/>
      <c r="E3963" s="194">
        <v>1118.99</v>
      </c>
      <c r="F3963" s="203" t="s">
        <v>1096</v>
      </c>
      <c r="G3963" s="127"/>
      <c r="H3963" s="136"/>
      <c r="I3963" s="1307">
        <f>+I3961</f>
        <v>0.95834826759383673</v>
      </c>
      <c r="J3963" s="1308"/>
      <c r="K3963" s="199">
        <f>+E3963*I3963</f>
        <v>1072.3821279548274</v>
      </c>
      <c r="L3963" s="186" t="s">
        <v>28</v>
      </c>
      <c r="M3963" s="50"/>
      <c r="N3963" s="50"/>
      <c r="O3963" s="5"/>
      <c r="P3963" s="9"/>
      <c r="Q3963" s="34"/>
      <c r="R3963" s="5"/>
      <c r="S3963" s="35"/>
    </row>
    <row r="3964" spans="1:19" ht="30" customHeight="1" x14ac:dyDescent="0.35">
      <c r="A3964" s="186"/>
      <c r="B3964" s="1202" t="s">
        <v>2598</v>
      </c>
      <c r="C3964" s="1203"/>
      <c r="D3964" s="1204"/>
      <c r="E3964" s="194">
        <v>1485.17</v>
      </c>
      <c r="F3964" s="203" t="s">
        <v>1096</v>
      </c>
      <c r="G3964" s="127"/>
      <c r="H3964" s="136"/>
      <c r="I3964" s="1307">
        <f>+I3961</f>
        <v>0.95834826759383673</v>
      </c>
      <c r="J3964" s="1308"/>
      <c r="K3964" s="199">
        <f>+E3964*I3964</f>
        <v>1423.3100965823385</v>
      </c>
      <c r="L3964" s="186" t="s">
        <v>28</v>
      </c>
      <c r="M3964" s="50"/>
      <c r="N3964" s="50"/>
      <c r="O3964" s="5"/>
      <c r="P3964" s="9"/>
      <c r="Q3964" s="34"/>
      <c r="R3964" s="5"/>
      <c r="S3964" s="35"/>
    </row>
    <row r="3965" spans="1:19" ht="30" customHeight="1" x14ac:dyDescent="0.35">
      <c r="A3965" s="186"/>
      <c r="B3965" s="373"/>
      <c r="C3965" s="374"/>
      <c r="D3965" s="375"/>
      <c r="E3965" s="129"/>
      <c r="F3965" s="143"/>
      <c r="G3965" s="716"/>
      <c r="H3965" s="136"/>
      <c r="I3965" s="1467" t="s">
        <v>1732</v>
      </c>
      <c r="J3965" s="1469"/>
      <c r="K3965" s="199">
        <f>AVERAGE(K3961:K3964)</f>
        <v>1118.9506661478808</v>
      </c>
      <c r="L3965" s="186" t="s">
        <v>28</v>
      </c>
      <c r="M3965" s="50"/>
      <c r="N3965" s="50"/>
      <c r="O3965" s="5"/>
      <c r="P3965" s="9"/>
      <c r="Q3965" s="34"/>
      <c r="R3965" s="5"/>
      <c r="S3965" s="35"/>
    </row>
    <row r="3966" spans="1:19" ht="30" customHeight="1" x14ac:dyDescent="0.35">
      <c r="A3966" s="186"/>
      <c r="B3966" s="373"/>
      <c r="C3966" s="374"/>
      <c r="D3966" s="375"/>
      <c r="E3966" s="129"/>
      <c r="F3966" s="143"/>
      <c r="G3966" s="716"/>
      <c r="H3966" s="136"/>
      <c r="I3966" s="751"/>
      <c r="J3966" s="736"/>
      <c r="K3966" s="199"/>
      <c r="L3966" s="186"/>
      <c r="M3966" s="50"/>
      <c r="N3966" s="50"/>
      <c r="O3966" s="5"/>
      <c r="P3966" s="9"/>
      <c r="Q3966" s="34"/>
      <c r="R3966" s="5"/>
      <c r="S3966" s="35"/>
    </row>
    <row r="3967" spans="1:19" ht="30" customHeight="1" thickBot="1" x14ac:dyDescent="0.4">
      <c r="A3967" s="186"/>
      <c r="B3967" s="1202"/>
      <c r="C3967" s="1203"/>
      <c r="D3967" s="1204"/>
      <c r="E3967" s="520"/>
      <c r="F3967" s="784"/>
      <c r="G3967" s="520"/>
      <c r="H3967" s="750"/>
      <c r="I3967" s="186" t="s">
        <v>192</v>
      </c>
      <c r="J3967" s="494" t="s">
        <v>37</v>
      </c>
      <c r="K3967" s="199">
        <f>(K3952+K3959+K3965)/3</f>
        <v>1087.7448233753496</v>
      </c>
      <c r="L3967" s="186" t="s">
        <v>28</v>
      </c>
      <c r="M3967" s="50"/>
      <c r="N3967" s="50"/>
      <c r="O3967" s="5"/>
      <c r="P3967" s="9"/>
      <c r="Q3967" s="34"/>
      <c r="R3967" s="5"/>
      <c r="S3967" s="35"/>
    </row>
    <row r="3968" spans="1:19" ht="30" customHeight="1" thickBot="1" x14ac:dyDescent="0.4">
      <c r="A3968" s="1199"/>
      <c r="B3968" s="1200"/>
      <c r="C3968" s="1200"/>
      <c r="D3968" s="1200"/>
      <c r="E3968" s="1200"/>
      <c r="F3968" s="1200"/>
      <c r="G3968" s="1200"/>
      <c r="H3968" s="1200"/>
      <c r="I3968" s="1200"/>
      <c r="J3968" s="1200"/>
      <c r="K3968" s="1200"/>
      <c r="L3968" s="1201"/>
      <c r="M3968" s="50"/>
      <c r="N3968" s="96"/>
      <c r="O3968" s="5"/>
      <c r="P3968" s="9"/>
      <c r="Q3968" s="34"/>
      <c r="R3968" s="5"/>
      <c r="S3968" s="35"/>
    </row>
    <row r="3969" spans="1:21" ht="30" customHeight="1" x14ac:dyDescent="0.35">
      <c r="A3969" s="388" t="s">
        <v>1</v>
      </c>
      <c r="B3969" s="389">
        <v>8231</v>
      </c>
      <c r="C3969" s="1205" t="s">
        <v>1733</v>
      </c>
      <c r="D3969" s="1206"/>
      <c r="E3969" s="392" t="s">
        <v>3</v>
      </c>
      <c r="F3969" s="393" t="s">
        <v>1702</v>
      </c>
      <c r="G3969" s="390" t="s">
        <v>38</v>
      </c>
      <c r="H3969" s="132">
        <v>54000000</v>
      </c>
      <c r="I3969" s="392" t="s">
        <v>5</v>
      </c>
      <c r="J3969" s="1207" t="s">
        <v>390</v>
      </c>
      <c r="K3969" s="1207"/>
      <c r="L3969" s="1208"/>
      <c r="M3969" s="327"/>
      <c r="N3969" s="50"/>
    </row>
    <row r="3970" spans="1:21" ht="30" customHeight="1" x14ac:dyDescent="0.35">
      <c r="A3970" s="494" t="s">
        <v>187</v>
      </c>
      <c r="B3970" s="1280" t="s">
        <v>211</v>
      </c>
      <c r="C3970" s="1281"/>
      <c r="D3970" s="1282"/>
      <c r="E3970" s="566" t="s">
        <v>52</v>
      </c>
      <c r="F3970" s="566" t="s">
        <v>53</v>
      </c>
      <c r="G3970" s="1219" t="s">
        <v>54</v>
      </c>
      <c r="H3970" s="1220"/>
      <c r="I3970" s="185" t="s">
        <v>188</v>
      </c>
      <c r="J3970" s="185"/>
      <c r="K3970" s="399" t="s">
        <v>180</v>
      </c>
      <c r="L3970" s="400"/>
      <c r="M3970" s="183"/>
      <c r="N3970" s="50"/>
      <c r="O3970" s="5"/>
      <c r="P3970" s="9"/>
      <c r="Q3970" s="34"/>
      <c r="R3970" s="5"/>
      <c r="S3970" s="35"/>
    </row>
    <row r="3971" spans="1:21" ht="30" customHeight="1" x14ac:dyDescent="0.35">
      <c r="A3971" s="186"/>
      <c r="C3971" s="374"/>
      <c r="D3971" s="375"/>
      <c r="E3971" s="422"/>
      <c r="F3971" s="422"/>
      <c r="G3971" s="707"/>
      <c r="H3971" s="708"/>
      <c r="I3971" s="136"/>
      <c r="J3971" s="186"/>
      <c r="K3971" s="194"/>
      <c r="L3971" s="186"/>
      <c r="M3971" s="50"/>
      <c r="N3971" s="50"/>
      <c r="O3971" s="5"/>
      <c r="P3971" s="9"/>
      <c r="Q3971" s="34"/>
      <c r="R3971" s="5"/>
      <c r="S3971" s="35"/>
    </row>
    <row r="3972" spans="1:21" ht="30" customHeight="1" x14ac:dyDescent="0.35">
      <c r="A3972" s="985" t="s">
        <v>1230</v>
      </c>
      <c r="B3972" s="1202" t="s">
        <v>1734</v>
      </c>
      <c r="C3972" s="1203"/>
      <c r="D3972" s="1204"/>
      <c r="E3972" s="7">
        <f>+(10000+11900)/2</f>
        <v>10950</v>
      </c>
      <c r="F3972" s="422" t="s">
        <v>40</v>
      </c>
      <c r="G3972" s="834">
        <v>54000000</v>
      </c>
      <c r="H3972" s="708" t="s">
        <v>1735</v>
      </c>
      <c r="I3972" s="186">
        <v>1.06</v>
      </c>
      <c r="J3972" s="186"/>
      <c r="K3972" s="1022">
        <f>+E3972/G3972*I3972</f>
        <v>2.1494444444444444E-4</v>
      </c>
      <c r="L3972" s="422" t="s">
        <v>1702</v>
      </c>
      <c r="M3972" s="50"/>
      <c r="N3972" s="50"/>
      <c r="O3972" s="5"/>
      <c r="P3972" s="9"/>
      <c r="Q3972" s="34"/>
      <c r="R3972" s="5"/>
      <c r="S3972" s="35"/>
    </row>
    <row r="3973" spans="1:21" ht="30" customHeight="1" x14ac:dyDescent="0.35">
      <c r="A3973" s="985" t="s">
        <v>242</v>
      </c>
      <c r="B3973" s="1202" t="s">
        <v>1736</v>
      </c>
      <c r="C3973" s="1203"/>
      <c r="D3973" s="1204"/>
      <c r="E3973" s="7">
        <v>313000</v>
      </c>
      <c r="F3973" s="422" t="s">
        <v>40</v>
      </c>
      <c r="G3973" s="834">
        <f>+H3969</f>
        <v>54000000</v>
      </c>
      <c r="H3973" s="708" t="s">
        <v>1735</v>
      </c>
      <c r="I3973" s="204">
        <v>1</v>
      </c>
      <c r="J3973" s="186"/>
      <c r="K3973" s="1022">
        <f>+E3973/G3973*I3973</f>
        <v>5.7962962962962959E-3</v>
      </c>
      <c r="L3973" s="422" t="s">
        <v>1702</v>
      </c>
      <c r="M3973" s="50"/>
      <c r="N3973" s="50"/>
      <c r="O3973" s="5"/>
      <c r="P3973" s="9"/>
      <c r="Q3973" s="34"/>
      <c r="R3973" s="5"/>
      <c r="S3973" s="35"/>
    </row>
    <row r="3974" spans="1:21" ht="30" customHeight="1" x14ac:dyDescent="0.35">
      <c r="A3974" s="985" t="s">
        <v>1737</v>
      </c>
      <c r="B3974" s="1202" t="s">
        <v>1738</v>
      </c>
      <c r="C3974" s="1203"/>
      <c r="D3974" s="1204"/>
      <c r="E3974" s="7">
        <f>(40.25+44)/2</f>
        <v>42.125</v>
      </c>
      <c r="F3974" s="422" t="s">
        <v>222</v>
      </c>
      <c r="G3974" s="834">
        <f>+H3969</f>
        <v>54000000</v>
      </c>
      <c r="H3974" s="708" t="s">
        <v>1739</v>
      </c>
      <c r="I3974" s="186">
        <v>1.06</v>
      </c>
      <c r="J3974" s="186"/>
      <c r="K3974" s="1022">
        <f>+E3974*520/G3974*I3974</f>
        <v>4.2998703703703707E-4</v>
      </c>
      <c r="L3974" s="422" t="s">
        <v>1702</v>
      </c>
      <c r="M3974" s="50"/>
      <c r="N3974" s="50"/>
      <c r="O3974" s="5"/>
      <c r="P3974" s="9"/>
      <c r="Q3974" s="34"/>
      <c r="R3974" s="5"/>
      <c r="S3974" s="35"/>
    </row>
    <row r="3975" spans="1:21" ht="30" customHeight="1" x14ac:dyDescent="0.35">
      <c r="A3975" s="985" t="s">
        <v>452</v>
      </c>
      <c r="B3975" s="1202" t="s">
        <v>1740</v>
      </c>
      <c r="C3975" s="1203"/>
      <c r="D3975" s="1204"/>
      <c r="E3975" s="7">
        <f>(7550+8700)/2</f>
        <v>8125</v>
      </c>
      <c r="F3975" s="422" t="s">
        <v>40</v>
      </c>
      <c r="G3975" s="834">
        <f>+H3969</f>
        <v>54000000</v>
      </c>
      <c r="H3975" s="708" t="s">
        <v>1739</v>
      </c>
      <c r="I3975" s="186">
        <v>1.06</v>
      </c>
      <c r="J3975" s="186"/>
      <c r="K3975" s="1022">
        <f>+((E3975*4)/G3975)*I3975</f>
        <v>6.3796296296296301E-4</v>
      </c>
      <c r="L3975" s="422" t="s">
        <v>1702</v>
      </c>
      <c r="M3975" s="50"/>
      <c r="N3975" s="50"/>
      <c r="P3975" s="9"/>
      <c r="Q3975" s="34"/>
      <c r="R3975" s="5"/>
      <c r="S3975" s="35"/>
    </row>
    <row r="3976" spans="1:21" ht="30" customHeight="1" x14ac:dyDescent="0.35">
      <c r="A3976" s="790"/>
      <c r="B3976" s="1211"/>
      <c r="C3976" s="1211"/>
      <c r="D3976" s="1211"/>
      <c r="E3976" s="194"/>
      <c r="F3976" s="186"/>
      <c r="G3976" s="186"/>
      <c r="H3976" s="186"/>
      <c r="I3976" s="186"/>
      <c r="J3976" s="186" t="s">
        <v>223</v>
      </c>
      <c r="K3976" s="224">
        <f>SUM(K3972:K3973)</f>
        <v>6.0112407407407406E-3</v>
      </c>
      <c r="L3976" s="422" t="s">
        <v>1702</v>
      </c>
      <c r="M3976" s="50"/>
      <c r="Q3976" s="34"/>
      <c r="R3976" s="5"/>
      <c r="S3976" s="35"/>
      <c r="U3976" s="10"/>
    </row>
    <row r="3977" spans="1:21" ht="30" customHeight="1" x14ac:dyDescent="0.35">
      <c r="A3977" s="186"/>
      <c r="B3977" s="567"/>
      <c r="C3977" s="567"/>
      <c r="D3977" s="567"/>
      <c r="E3977" s="194"/>
      <c r="F3977" s="1215" t="s">
        <v>195</v>
      </c>
      <c r="G3977" s="1273" t="s">
        <v>196</v>
      </c>
      <c r="H3977" s="1273"/>
      <c r="I3977" s="1273"/>
      <c r="J3977" s="1273"/>
      <c r="K3977" s="196">
        <v>1.07</v>
      </c>
      <c r="L3977" s="186"/>
      <c r="M3977" s="50"/>
      <c r="N3977" s="50"/>
      <c r="Q3977" s="34"/>
      <c r="R3977" s="5"/>
      <c r="S3977" s="35"/>
      <c r="U3977" s="10"/>
    </row>
    <row r="3978" spans="1:21" ht="30" customHeight="1" x14ac:dyDescent="0.35">
      <c r="A3978" s="186"/>
      <c r="B3978" s="567"/>
      <c r="C3978" s="567"/>
      <c r="D3978" s="567"/>
      <c r="E3978" s="194"/>
      <c r="F3978" s="1216"/>
      <c r="G3978" s="1268" t="s">
        <v>276</v>
      </c>
      <c r="H3978" s="1268"/>
      <c r="I3978" s="1268"/>
      <c r="J3978" s="1268"/>
      <c r="K3978" s="196">
        <v>1.08</v>
      </c>
      <c r="L3978" s="186"/>
      <c r="M3978" s="50"/>
      <c r="N3978" s="50"/>
      <c r="O3978" s="5"/>
      <c r="Q3978" s="34"/>
      <c r="R3978" s="5"/>
      <c r="S3978" s="35"/>
      <c r="U3978" s="10"/>
    </row>
    <row r="3979" spans="1:21" ht="30" customHeight="1" x14ac:dyDescent="0.35">
      <c r="A3979" s="186"/>
      <c r="B3979" s="558"/>
      <c r="C3979" s="558"/>
      <c r="D3979" s="558"/>
      <c r="E3979" s="186"/>
      <c r="F3979" s="186" t="s">
        <v>108</v>
      </c>
      <c r="G3979" s="503"/>
      <c r="H3979" s="503"/>
      <c r="I3979" s="503"/>
      <c r="J3979" s="503" t="s">
        <v>37</v>
      </c>
      <c r="K3979" s="225">
        <f>+K3976*K3977/K3978</f>
        <v>5.9555811042524007E-3</v>
      </c>
      <c r="L3979" s="422" t="s">
        <v>1702</v>
      </c>
      <c r="M3979" s="50"/>
      <c r="N3979" s="50"/>
      <c r="O3979" s="16"/>
      <c r="T3979" s="10"/>
    </row>
    <row r="3980" spans="1:21" ht="30" customHeight="1" x14ac:dyDescent="0.35">
      <c r="A3980" s="186"/>
      <c r="B3980" s="503"/>
      <c r="C3980" s="567"/>
      <c r="D3980" s="551"/>
      <c r="E3980" s="960"/>
      <c r="F3980" s="503"/>
      <c r="G3980" s="1374" t="s">
        <v>257</v>
      </c>
      <c r="H3980" s="1375"/>
      <c r="I3980" s="1376"/>
      <c r="J3980" s="560">
        <f>VLOOKUP(B3969,'Mil Cost Premiums for PUCs'!$A$4:$R$285,18,FALSE)</f>
        <v>1.0905505199999999</v>
      </c>
      <c r="K3980" s="225">
        <f>+K3979*J3980</f>
        <v>6.4948620701446294E-3</v>
      </c>
      <c r="L3980" s="422" t="s">
        <v>1702</v>
      </c>
      <c r="M3980" s="50"/>
      <c r="N3980" s="50"/>
      <c r="O3980" s="5"/>
      <c r="T3980" s="10"/>
    </row>
    <row r="3981" spans="1:21" ht="30" customHeight="1" x14ac:dyDescent="0.35">
      <c r="A3981" s="904"/>
      <c r="B3981" s="904"/>
      <c r="C3981" s="905"/>
      <c r="D3981" s="905"/>
      <c r="E3981" s="905"/>
      <c r="F3981" s="1415" t="s">
        <v>277</v>
      </c>
      <c r="G3981" s="1415"/>
      <c r="H3981" s="1415"/>
      <c r="I3981" s="1415"/>
      <c r="J3981" s="1086">
        <v>1.0833999999999999</v>
      </c>
      <c r="K3981" s="1127">
        <f>K3980*J3981</f>
        <v>7.0365335667946912E-3</v>
      </c>
      <c r="L3981" s="422" t="s">
        <v>1702</v>
      </c>
      <c r="M3981" s="50"/>
      <c r="N3981" s="50"/>
      <c r="O3981" s="5"/>
      <c r="U3981" s="10"/>
    </row>
    <row r="3982" spans="1:21" ht="30" customHeight="1" x14ac:dyDescent="0.35">
      <c r="A3982" s="569"/>
      <c r="B3982" s="569"/>
      <c r="C3982" s="510"/>
      <c r="D3982" s="510"/>
      <c r="E3982" s="510"/>
      <c r="F3982" s="510"/>
      <c r="G3982" s="1737" t="s">
        <v>2817</v>
      </c>
      <c r="H3982" s="1738"/>
      <c r="I3982" s="1739"/>
      <c r="J3982" s="570">
        <v>1.1214</v>
      </c>
      <c r="K3982" s="1179">
        <f>+K3981*J3982</f>
        <v>7.8907687418035659E-3</v>
      </c>
      <c r="L3982" s="186" t="s">
        <v>1702</v>
      </c>
      <c r="M3982" s="50"/>
      <c r="N3982" s="50"/>
      <c r="O3982" s="5"/>
      <c r="U3982" s="10"/>
    </row>
    <row r="3983" spans="1:21" ht="30" customHeight="1" thickBot="1" x14ac:dyDescent="0.4">
      <c r="A3983" s="569"/>
      <c r="B3983" s="569"/>
      <c r="C3983" s="510"/>
      <c r="D3983" s="510"/>
      <c r="E3983" s="510"/>
      <c r="F3983" s="510"/>
      <c r="G3983" s="1191" t="s">
        <v>3000</v>
      </c>
      <c r="H3983" s="1192"/>
      <c r="I3983" s="1193"/>
      <c r="J3983" s="570">
        <v>1.0438745311870361</v>
      </c>
      <c r="K3983" s="358">
        <f>+K3982*J3983</f>
        <v>8.2369725210555168E-3</v>
      </c>
      <c r="L3983" s="186" t="s">
        <v>1702</v>
      </c>
      <c r="M3983" s="50"/>
      <c r="N3983" s="50"/>
      <c r="O3983" s="14"/>
      <c r="U3983" s="10"/>
    </row>
    <row r="3984" spans="1:21" ht="30" customHeight="1" thickBot="1" x14ac:dyDescent="0.4">
      <c r="A3984" s="1199"/>
      <c r="B3984" s="1200"/>
      <c r="C3984" s="1200"/>
      <c r="D3984" s="1200"/>
      <c r="E3984" s="1200"/>
      <c r="F3984" s="1200"/>
      <c r="G3984" s="1200"/>
      <c r="H3984" s="1200"/>
      <c r="I3984" s="1200"/>
      <c r="J3984" s="1200"/>
      <c r="K3984" s="1200"/>
      <c r="L3984" s="1201"/>
      <c r="N3984" s="50"/>
      <c r="O3984" s="5"/>
      <c r="T3984" s="10"/>
      <c r="U3984" s="10"/>
    </row>
    <row r="3985" spans="1:23" ht="30" customHeight="1" x14ac:dyDescent="0.35">
      <c r="A3985" s="388" t="s">
        <v>1</v>
      </c>
      <c r="B3985" s="389">
        <v>8232</v>
      </c>
      <c r="C3985" s="1205" t="s">
        <v>1741</v>
      </c>
      <c r="D3985" s="1206"/>
      <c r="E3985" s="392" t="s">
        <v>3</v>
      </c>
      <c r="F3985" s="393" t="s">
        <v>40</v>
      </c>
      <c r="G3985" s="520" t="s">
        <v>2</v>
      </c>
      <c r="H3985" s="132">
        <v>1</v>
      </c>
      <c r="I3985" s="392" t="s">
        <v>5</v>
      </c>
      <c r="J3985" s="1207" t="s">
        <v>390</v>
      </c>
      <c r="K3985" s="1207"/>
      <c r="L3985" s="1208"/>
      <c r="M3985" s="50"/>
      <c r="N3985" s="50"/>
      <c r="O3985" s="5"/>
      <c r="T3985" s="10"/>
      <c r="U3985" s="10"/>
    </row>
    <row r="3986" spans="1:23" ht="30" customHeight="1" x14ac:dyDescent="0.35">
      <c r="A3986" s="494" t="s">
        <v>187</v>
      </c>
      <c r="B3986" s="1280" t="s">
        <v>211</v>
      </c>
      <c r="C3986" s="1281"/>
      <c r="D3986" s="1282"/>
      <c r="E3986" s="566" t="s">
        <v>52</v>
      </c>
      <c r="F3986" s="566" t="s">
        <v>53</v>
      </c>
      <c r="G3986" s="1219" t="s">
        <v>54</v>
      </c>
      <c r="H3986" s="1220"/>
      <c r="I3986" s="185" t="s">
        <v>188</v>
      </c>
      <c r="J3986" s="185"/>
      <c r="K3986" s="399" t="s">
        <v>180</v>
      </c>
      <c r="L3986" s="400"/>
      <c r="M3986" s="50"/>
      <c r="N3986" s="50"/>
      <c r="T3986" s="10"/>
      <c r="U3986" s="53"/>
    </row>
    <row r="3987" spans="1:23" ht="30" customHeight="1" x14ac:dyDescent="0.35">
      <c r="A3987" s="186" t="s">
        <v>242</v>
      </c>
      <c r="B3987" s="1264" t="s">
        <v>1742</v>
      </c>
      <c r="C3987" s="1264"/>
      <c r="D3987" s="1264"/>
      <c r="E3987" s="194">
        <v>102000</v>
      </c>
      <c r="F3987" s="127" t="s">
        <v>40</v>
      </c>
      <c r="G3987" s="1090"/>
      <c r="H3987" s="136"/>
      <c r="I3987" s="773">
        <v>1</v>
      </c>
      <c r="J3987" s="186"/>
      <c r="K3987" s="194">
        <f>+E3987*I3987</f>
        <v>102000</v>
      </c>
      <c r="L3987" s="186" t="s">
        <v>40</v>
      </c>
      <c r="M3987" s="50"/>
      <c r="N3987" s="50"/>
      <c r="T3987" s="10"/>
    </row>
    <row r="3988" spans="1:23" ht="30" customHeight="1" x14ac:dyDescent="0.35">
      <c r="A3988" s="186"/>
      <c r="B3988" s="567"/>
      <c r="C3988" s="567"/>
      <c r="D3988" s="567"/>
      <c r="E3988" s="194"/>
      <c r="F3988" s="1215" t="s">
        <v>195</v>
      </c>
      <c r="G3988" s="1273" t="s">
        <v>196</v>
      </c>
      <c r="H3988" s="1273"/>
      <c r="I3988" s="1273"/>
      <c r="J3988" s="1273"/>
      <c r="K3988" s="196">
        <v>1.07</v>
      </c>
      <c r="L3988" s="186"/>
      <c r="M3988" s="50"/>
      <c r="N3988" s="50"/>
      <c r="O3988" s="5"/>
      <c r="P3988" s="9"/>
      <c r="Q3988" s="34"/>
      <c r="R3988" s="5"/>
      <c r="S3988" s="35"/>
      <c r="U3988" s="10"/>
    </row>
    <row r="3989" spans="1:23" s="396" customFormat="1" ht="30" customHeight="1" x14ac:dyDescent="0.35">
      <c r="A3989" s="186"/>
      <c r="B3989" s="567"/>
      <c r="C3989" s="567"/>
      <c r="D3989" s="567"/>
      <c r="E3989" s="194"/>
      <c r="F3989" s="1216"/>
      <c r="G3989" s="1268" t="s">
        <v>276</v>
      </c>
      <c r="H3989" s="1268"/>
      <c r="I3989" s="1268"/>
      <c r="J3989" s="1268"/>
      <c r="K3989" s="196">
        <v>1.08</v>
      </c>
      <c r="L3989" s="186"/>
      <c r="M3989" s="50"/>
      <c r="N3989" s="51"/>
      <c r="O3989" s="9"/>
      <c r="P3989" s="14"/>
      <c r="Q3989" s="9"/>
      <c r="R3989" s="9"/>
      <c r="S3989" s="9"/>
      <c r="T3989" s="10"/>
      <c r="U3989" s="9"/>
      <c r="V3989" s="9"/>
      <c r="W3989" s="9"/>
    </row>
    <row r="3990" spans="1:23" ht="30" customHeight="1" x14ac:dyDescent="0.35">
      <c r="A3990" s="186"/>
      <c r="B3990" s="186"/>
      <c r="C3990" s="503"/>
      <c r="D3990" s="503"/>
      <c r="E3990" s="503"/>
      <c r="F3990" s="503"/>
      <c r="G3990" s="503"/>
      <c r="H3990" s="503"/>
      <c r="I3990" s="503"/>
      <c r="J3990" s="186" t="s">
        <v>37</v>
      </c>
      <c r="K3990" s="193">
        <f>+K3987*K3988/K3989</f>
        <v>101055.55555555555</v>
      </c>
      <c r="L3990" s="186" t="s">
        <v>40</v>
      </c>
      <c r="M3990" s="50"/>
      <c r="N3990" s="50"/>
      <c r="O3990" s="5"/>
      <c r="U3990" s="10"/>
    </row>
    <row r="3991" spans="1:23" ht="30" customHeight="1" x14ac:dyDescent="0.35">
      <c r="A3991" s="186"/>
      <c r="B3991" s="186"/>
      <c r="C3991" s="503"/>
      <c r="D3991" s="503"/>
      <c r="E3991" s="503"/>
      <c r="F3991" s="503"/>
      <c r="G3991" s="1374" t="s">
        <v>257</v>
      </c>
      <c r="H3991" s="1375"/>
      <c r="I3991" s="1376"/>
      <c r="J3991" s="560">
        <f>VLOOKUP(B3985,'Mil Cost Premiums for PUCs'!$A$4:$R$285,18,FALSE)</f>
        <v>1.0905505199999999</v>
      </c>
      <c r="K3991" s="193">
        <f>+K3990*J3991</f>
        <v>110206.18865999997</v>
      </c>
      <c r="L3991" s="186" t="s">
        <v>40</v>
      </c>
      <c r="M3991" s="50"/>
      <c r="N3991" s="50"/>
      <c r="O3991" s="14"/>
      <c r="U3991" s="10"/>
    </row>
    <row r="3992" spans="1:23" ht="30" customHeight="1" x14ac:dyDescent="0.35">
      <c r="A3992" s="904"/>
      <c r="B3992" s="904"/>
      <c r="C3992" s="905"/>
      <c r="D3992" s="905"/>
      <c r="E3992" s="905"/>
      <c r="F3992" s="1415" t="s">
        <v>277</v>
      </c>
      <c r="G3992" s="1415"/>
      <c r="H3992" s="1415"/>
      <c r="I3992" s="1415"/>
      <c r="J3992" s="1086">
        <v>1.0833999999999999</v>
      </c>
      <c r="K3992" s="1127">
        <f>K3991*J3992</f>
        <v>119397.38479424396</v>
      </c>
      <c r="L3992" s="186" t="s">
        <v>40</v>
      </c>
      <c r="M3992" s="50"/>
      <c r="N3992" s="50"/>
      <c r="O3992" s="14"/>
      <c r="U3992" s="10"/>
    </row>
    <row r="3993" spans="1:23" ht="30" customHeight="1" x14ac:dyDescent="0.35">
      <c r="A3993" s="569"/>
      <c r="B3993" s="569"/>
      <c r="C3993" s="510"/>
      <c r="D3993" s="510"/>
      <c r="E3993" s="510"/>
      <c r="F3993" s="510"/>
      <c r="G3993" s="1737" t="s">
        <v>2817</v>
      </c>
      <c r="H3993" s="1738"/>
      <c r="I3993" s="1739"/>
      <c r="J3993" s="570">
        <v>1.1214</v>
      </c>
      <c r="K3993" s="285">
        <f>+K3992*J3993</f>
        <v>133892.22730826517</v>
      </c>
      <c r="L3993" s="186" t="s">
        <v>40</v>
      </c>
      <c r="M3993" s="50"/>
      <c r="N3993" s="96"/>
      <c r="T3993" s="53"/>
      <c r="U3993" s="10"/>
    </row>
    <row r="3994" spans="1:23" ht="30" customHeight="1" thickBot="1" x14ac:dyDescent="0.4">
      <c r="A3994" s="569"/>
      <c r="B3994" s="569"/>
      <c r="C3994" s="510"/>
      <c r="D3994" s="510"/>
      <c r="E3994" s="510"/>
      <c r="F3994" s="510"/>
      <c r="G3994" s="1191" t="s">
        <v>3000</v>
      </c>
      <c r="H3994" s="1192"/>
      <c r="I3994" s="1193"/>
      <c r="J3994" s="570">
        <v>1.0438745311870361</v>
      </c>
      <c r="K3994" s="285">
        <f>+K3993*J3994</f>
        <v>139766.68601100336</v>
      </c>
      <c r="L3994" s="186" t="s">
        <v>40</v>
      </c>
      <c r="M3994" s="50"/>
      <c r="N3994" s="50"/>
      <c r="T3994" s="10"/>
      <c r="U3994" s="10"/>
    </row>
    <row r="3995" spans="1:23" ht="30" customHeight="1" thickBot="1" x14ac:dyDescent="0.4">
      <c r="A3995" s="1199"/>
      <c r="B3995" s="1200"/>
      <c r="C3995" s="1200"/>
      <c r="D3995" s="1200"/>
      <c r="E3995" s="1200"/>
      <c r="F3995" s="1200"/>
      <c r="G3995" s="1200"/>
      <c r="H3995" s="1200"/>
      <c r="I3995" s="1200"/>
      <c r="J3995" s="1200"/>
      <c r="K3995" s="1200"/>
      <c r="L3995" s="1201"/>
      <c r="N3995" s="50"/>
      <c r="P3995" s="9"/>
    </row>
    <row r="3996" spans="1:23" ht="30" customHeight="1" x14ac:dyDescent="0.35">
      <c r="A3996" s="388" t="s">
        <v>1</v>
      </c>
      <c r="B3996" s="389">
        <v>8241</v>
      </c>
      <c r="C3996" s="1205" t="s">
        <v>1743</v>
      </c>
      <c r="D3996" s="1206"/>
      <c r="E3996" s="392" t="s">
        <v>3</v>
      </c>
      <c r="F3996" s="393" t="s">
        <v>28</v>
      </c>
      <c r="G3996" s="390" t="s">
        <v>38</v>
      </c>
      <c r="H3996" s="132">
        <v>8472</v>
      </c>
      <c r="I3996" s="392" t="s">
        <v>5</v>
      </c>
      <c r="J3996" s="1207" t="s">
        <v>2538</v>
      </c>
      <c r="K3996" s="1207"/>
      <c r="L3996" s="1208"/>
      <c r="M3996" s="50"/>
      <c r="N3996" s="50"/>
      <c r="P3996" s="9"/>
      <c r="T3996" s="10"/>
    </row>
    <row r="3997" spans="1:23" ht="30" customHeight="1" x14ac:dyDescent="0.35">
      <c r="A3997" s="185" t="s">
        <v>177</v>
      </c>
      <c r="B3997" s="1272" t="s">
        <v>7</v>
      </c>
      <c r="C3997" s="1272"/>
      <c r="D3997" s="1272"/>
      <c r="E3997" s="566" t="s">
        <v>52</v>
      </c>
      <c r="F3997" s="566" t="s">
        <v>53</v>
      </c>
      <c r="G3997" s="1219" t="s">
        <v>54</v>
      </c>
      <c r="H3997" s="1220"/>
      <c r="I3997" s="1221" t="s">
        <v>185</v>
      </c>
      <c r="J3997" s="1222"/>
      <c r="K3997" s="399" t="s">
        <v>180</v>
      </c>
      <c r="L3997" s="400"/>
      <c r="M3997" s="50"/>
      <c r="N3997" s="50"/>
      <c r="O3997" s="5"/>
      <c r="P3997" s="9"/>
      <c r="T3997" s="10"/>
    </row>
    <row r="3998" spans="1:23" ht="30" customHeight="1" x14ac:dyDescent="0.35">
      <c r="A3998" s="186">
        <v>82410</v>
      </c>
      <c r="B3998" s="1212" t="s">
        <v>2837</v>
      </c>
      <c r="C3998" s="1213"/>
      <c r="D3998" s="1214"/>
      <c r="E3998" s="7">
        <v>57.84</v>
      </c>
      <c r="F3998" s="566" t="s">
        <v>28</v>
      </c>
      <c r="G3998" s="459"/>
      <c r="H3998" s="460"/>
      <c r="I3998" s="1400">
        <f>+'FY2024 MILCON Inflation Table'!$F$22</f>
        <v>0.95834826759383673</v>
      </c>
      <c r="J3998" s="1401"/>
      <c r="K3998" s="7">
        <f>+E3998*I3998</f>
        <v>55.430863797627516</v>
      </c>
      <c r="L3998" s="422" t="s">
        <v>28</v>
      </c>
      <c r="M3998" s="50"/>
      <c r="N3998" s="50"/>
      <c r="O3998" s="5"/>
      <c r="P3998" s="9"/>
      <c r="Q3998" s="34"/>
      <c r="R3998" s="5"/>
      <c r="S3998" s="35"/>
    </row>
    <row r="3999" spans="1:23" ht="30" customHeight="1" x14ac:dyDescent="0.35">
      <c r="A3999" s="186">
        <v>82410</v>
      </c>
      <c r="B3999" s="1212" t="s">
        <v>2539</v>
      </c>
      <c r="C3999" s="1213"/>
      <c r="D3999" s="1214"/>
      <c r="E3999" s="7">
        <v>80.11</v>
      </c>
      <c r="F3999" s="422" t="s">
        <v>28</v>
      </c>
      <c r="G3999" s="707"/>
      <c r="H3999" s="708"/>
      <c r="I3999" s="1400">
        <f>+'FY2024 MILCON Inflation Table'!$F$22</f>
        <v>0.95834826759383673</v>
      </c>
      <c r="J3999" s="1401"/>
      <c r="K3999" s="7">
        <f>+E3999*I3999</f>
        <v>76.773279716942255</v>
      </c>
      <c r="L3999" s="422" t="s">
        <v>28</v>
      </c>
      <c r="M3999" s="50"/>
      <c r="N3999" s="50"/>
      <c r="O3999" s="5"/>
      <c r="P3999" s="9"/>
      <c r="Q3999" s="34"/>
      <c r="R3999" s="5"/>
      <c r="S3999" s="35"/>
    </row>
    <row r="4000" spans="1:23" ht="30" customHeight="1" x14ac:dyDescent="0.35">
      <c r="A4000" s="186">
        <v>82410</v>
      </c>
      <c r="B4000" s="1212" t="s">
        <v>2836</v>
      </c>
      <c r="C4000" s="1213"/>
      <c r="D4000" s="1214"/>
      <c r="E4000" s="7">
        <v>107.1</v>
      </c>
      <c r="F4000" s="422" t="s">
        <v>28</v>
      </c>
      <c r="G4000" s="1128"/>
      <c r="H4000" s="708"/>
      <c r="I4000" s="1400">
        <f>+'FY2024 MILCON Inflation Table'!$F$22</f>
        <v>0.95834826759383673</v>
      </c>
      <c r="J4000" s="1401"/>
      <c r="K4000" s="7">
        <f>+E4000*I4000</f>
        <v>102.63909945929991</v>
      </c>
      <c r="L4000" s="422" t="s">
        <v>28</v>
      </c>
      <c r="M4000" s="50"/>
      <c r="N4000" s="50"/>
      <c r="O4000" s="5"/>
      <c r="P4000" s="9"/>
      <c r="Q4000" s="34"/>
      <c r="R4000" s="5"/>
      <c r="S4000" s="35"/>
    </row>
    <row r="4001" spans="1:19" ht="30" customHeight="1" x14ac:dyDescent="0.35">
      <c r="A4001" s="790"/>
      <c r="B4001" s="1211"/>
      <c r="C4001" s="1211"/>
      <c r="D4001" s="1211"/>
      <c r="E4001" s="194"/>
      <c r="F4001" s="186"/>
      <c r="G4001" s="186"/>
      <c r="H4001" s="186"/>
      <c r="I4001" s="186"/>
      <c r="J4001" s="186" t="s">
        <v>192</v>
      </c>
      <c r="K4001" s="194">
        <f>AVERAGE(K3998:K4000)</f>
        <v>78.281080991289897</v>
      </c>
      <c r="L4001" s="186" t="s">
        <v>28</v>
      </c>
      <c r="M4001" s="50"/>
      <c r="N4001" s="50"/>
      <c r="P4001" s="9"/>
      <c r="Q4001" s="34"/>
      <c r="R4001" s="5"/>
      <c r="S4001" s="35"/>
    </row>
    <row r="4002" spans="1:19" ht="30" customHeight="1" thickBot="1" x14ac:dyDescent="0.4">
      <c r="A4002" s="186"/>
      <c r="B4002" s="186"/>
      <c r="C4002" s="503"/>
      <c r="D4002" s="503"/>
      <c r="E4002" s="503"/>
      <c r="F4002" s="503"/>
      <c r="G4002" s="503"/>
      <c r="H4002" s="503"/>
      <c r="I4002" s="503"/>
      <c r="J4002" s="186" t="s">
        <v>37</v>
      </c>
      <c r="K4002" s="193">
        <f>+K4001</f>
        <v>78.281080991289897</v>
      </c>
      <c r="L4002" s="186" t="s">
        <v>28</v>
      </c>
      <c r="M4002" s="50"/>
      <c r="N4002" s="50"/>
      <c r="P4002" s="9"/>
      <c r="Q4002" s="34"/>
      <c r="R4002" s="5"/>
      <c r="S4002" s="35"/>
    </row>
    <row r="4003" spans="1:19" ht="30" customHeight="1" thickBot="1" x14ac:dyDescent="0.4">
      <c r="A4003" s="1199"/>
      <c r="B4003" s="1200"/>
      <c r="C4003" s="1200"/>
      <c r="D4003" s="1200"/>
      <c r="E4003" s="1200"/>
      <c r="F4003" s="1200"/>
      <c r="G4003" s="1200"/>
      <c r="H4003" s="1200"/>
      <c r="I4003" s="1200"/>
      <c r="J4003" s="1200"/>
      <c r="K4003" s="1200"/>
      <c r="L4003" s="1201"/>
      <c r="M4003" s="50"/>
      <c r="N4003" s="50"/>
      <c r="P4003" s="9"/>
      <c r="Q4003" s="34"/>
      <c r="R4003" s="5"/>
      <c r="S4003" s="35"/>
    </row>
    <row r="4004" spans="1:19" ht="30" customHeight="1" x14ac:dyDescent="0.35">
      <c r="A4004" s="388" t="s">
        <v>1</v>
      </c>
      <c r="B4004" s="389">
        <v>8261</v>
      </c>
      <c r="C4004" s="1345" t="s">
        <v>2536</v>
      </c>
      <c r="D4004" s="1346"/>
      <c r="E4004" s="392" t="s">
        <v>3</v>
      </c>
      <c r="F4004" s="393" t="s">
        <v>1744</v>
      </c>
      <c r="G4004" s="390" t="s">
        <v>38</v>
      </c>
      <c r="H4004" s="132">
        <v>573</v>
      </c>
      <c r="I4004" s="392" t="s">
        <v>5</v>
      </c>
      <c r="J4004" s="1207" t="s">
        <v>2481</v>
      </c>
      <c r="K4004" s="1207"/>
      <c r="L4004" s="1208"/>
      <c r="M4004" s="50"/>
      <c r="N4004" s="50"/>
      <c r="P4004" s="9"/>
      <c r="Q4004" s="34"/>
      <c r="R4004" s="5"/>
      <c r="S4004" s="35"/>
    </row>
    <row r="4005" spans="1:19" ht="30" customHeight="1" x14ac:dyDescent="0.35">
      <c r="A4005" s="494" t="s">
        <v>187</v>
      </c>
      <c r="B4005" s="1280" t="s">
        <v>211</v>
      </c>
      <c r="C4005" s="1281"/>
      <c r="D4005" s="1282"/>
      <c r="E4005" s="566" t="s">
        <v>52</v>
      </c>
      <c r="F4005" s="566" t="s">
        <v>53</v>
      </c>
      <c r="G4005" s="1219" t="s">
        <v>54</v>
      </c>
      <c r="H4005" s="1220"/>
      <c r="I4005" s="185" t="s">
        <v>1051</v>
      </c>
      <c r="J4005" s="185" t="s">
        <v>188</v>
      </c>
      <c r="K4005" s="399" t="s">
        <v>180</v>
      </c>
      <c r="L4005" s="400"/>
      <c r="M4005" s="50"/>
      <c r="N4005" s="50"/>
      <c r="P4005" s="9"/>
      <c r="Q4005" s="34"/>
      <c r="R4005" s="5"/>
      <c r="S4005" s="35"/>
    </row>
    <row r="4006" spans="1:19" ht="30" customHeight="1" x14ac:dyDescent="0.35">
      <c r="A4006" s="186" t="s">
        <v>1745</v>
      </c>
      <c r="B4006" s="1347" t="s">
        <v>2537</v>
      </c>
      <c r="C4006" s="1348"/>
      <c r="D4006" s="1349"/>
      <c r="E4006" s="7">
        <v>4950</v>
      </c>
      <c r="F4006" s="422" t="s">
        <v>1744</v>
      </c>
      <c r="G4006" s="707"/>
      <c r="H4006" s="708"/>
      <c r="I4006" s="278"/>
      <c r="J4006" s="186">
        <v>1.27</v>
      </c>
      <c r="K4006" s="7">
        <f>+E4006*J4006</f>
        <v>6286.5</v>
      </c>
      <c r="L4006" s="422" t="s">
        <v>1744</v>
      </c>
      <c r="M4006" s="50"/>
      <c r="N4006" s="50"/>
      <c r="O4006" s="5"/>
      <c r="P4006" s="9"/>
      <c r="Q4006" s="34"/>
      <c r="R4006" s="5"/>
      <c r="S4006" s="35"/>
    </row>
    <row r="4007" spans="1:19" ht="30" customHeight="1" x14ac:dyDescent="0.35">
      <c r="A4007" s="790"/>
      <c r="B4007" s="1211"/>
      <c r="C4007" s="1211"/>
      <c r="D4007" s="1211"/>
      <c r="E4007" s="194"/>
      <c r="F4007" s="186"/>
      <c r="G4007" s="186"/>
      <c r="H4007" s="186"/>
      <c r="I4007" s="186"/>
      <c r="J4007" s="186" t="s">
        <v>223</v>
      </c>
      <c r="K4007" s="194">
        <f>AVERAGE(K4006:K4006)</f>
        <v>6286.5</v>
      </c>
      <c r="L4007" s="186" t="s">
        <v>1744</v>
      </c>
      <c r="M4007" s="50"/>
      <c r="N4007" s="50"/>
      <c r="O4007" s="5"/>
      <c r="P4007" s="9"/>
      <c r="Q4007" s="34"/>
      <c r="R4007" s="5"/>
      <c r="S4007" s="35"/>
    </row>
    <row r="4008" spans="1:19" ht="30" customHeight="1" x14ac:dyDescent="0.35">
      <c r="A4008" s="186"/>
      <c r="B4008" s="567"/>
      <c r="C4008" s="567"/>
      <c r="D4008" s="567"/>
      <c r="E4008" s="194"/>
      <c r="F4008" s="1215" t="s">
        <v>195</v>
      </c>
      <c r="G4008" s="1273" t="s">
        <v>196</v>
      </c>
      <c r="H4008" s="1273"/>
      <c r="I4008" s="1273"/>
      <c r="J4008" s="1273"/>
      <c r="K4008" s="196">
        <v>1.06</v>
      </c>
      <c r="L4008" s="186"/>
      <c r="M4008" s="50"/>
      <c r="N4008" s="50"/>
      <c r="O4008" s="5"/>
      <c r="P4008" s="9"/>
      <c r="Q4008" s="34"/>
      <c r="R4008" s="5"/>
      <c r="S4008" s="35"/>
    </row>
    <row r="4009" spans="1:19" ht="30" customHeight="1" x14ac:dyDescent="0.35">
      <c r="A4009" s="186"/>
      <c r="B4009" s="567"/>
      <c r="C4009" s="567"/>
      <c r="D4009" s="567"/>
      <c r="E4009" s="194"/>
      <c r="F4009" s="1216"/>
      <c r="G4009" s="1268" t="s">
        <v>2477</v>
      </c>
      <c r="H4009" s="1268"/>
      <c r="I4009" s="1268"/>
      <c r="J4009" s="1268"/>
      <c r="K4009" s="196">
        <v>1.05</v>
      </c>
      <c r="L4009" s="186"/>
      <c r="M4009" s="50"/>
      <c r="N4009" s="50"/>
      <c r="O4009" s="5"/>
      <c r="P4009" s="9"/>
      <c r="Q4009" s="34"/>
      <c r="R4009" s="5"/>
      <c r="S4009" s="35"/>
    </row>
    <row r="4010" spans="1:19" ht="30" customHeight="1" x14ac:dyDescent="0.35">
      <c r="A4010" s="186"/>
      <c r="B4010" s="186"/>
      <c r="C4010" s="503"/>
      <c r="D4010" s="503"/>
      <c r="E4010" s="503"/>
      <c r="F4010" s="503"/>
      <c r="G4010" s="503"/>
      <c r="H4010" s="503"/>
      <c r="I4010" s="503"/>
      <c r="J4010" s="186" t="s">
        <v>37</v>
      </c>
      <c r="K4010" s="193">
        <f>+K4007*K4008/K4009</f>
        <v>6346.3714285714286</v>
      </c>
      <c r="L4010" s="186" t="s">
        <v>1744</v>
      </c>
      <c r="M4010" s="50"/>
      <c r="N4010" s="50"/>
      <c r="O4010" s="5"/>
      <c r="P4010" s="9"/>
      <c r="Q4010" s="34"/>
      <c r="R4010" s="5"/>
      <c r="S4010" s="35"/>
    </row>
    <row r="4011" spans="1:19" ht="30" customHeight="1" x14ac:dyDescent="0.35">
      <c r="A4011" s="186"/>
      <c r="B4011" s="186"/>
      <c r="C4011" s="503"/>
      <c r="D4011" s="503"/>
      <c r="E4011" s="503"/>
      <c r="F4011" s="503"/>
      <c r="G4011" s="1198" t="s">
        <v>257</v>
      </c>
      <c r="H4011" s="1198"/>
      <c r="I4011" s="1198"/>
      <c r="J4011" s="560">
        <f>VLOOKUP(B4004,'Mil Cost Premiums for PUCs'!$A$4:$R$285,18,FALSE)</f>
        <v>1.0905505199999999</v>
      </c>
      <c r="K4011" s="193">
        <f>+K4010*J4011</f>
        <v>6921.0386615417137</v>
      </c>
      <c r="L4011" s="186" t="s">
        <v>1744</v>
      </c>
      <c r="M4011" s="50"/>
      <c r="N4011" s="50"/>
      <c r="O4011" s="5"/>
      <c r="P4011" s="9"/>
      <c r="Q4011" s="34"/>
      <c r="R4011" s="5"/>
      <c r="S4011" s="35"/>
    </row>
    <row r="4012" spans="1:19" ht="30" customHeight="1" thickBot="1" x14ac:dyDescent="0.4">
      <c r="A4012" s="186"/>
      <c r="B4012" s="186"/>
      <c r="C4012" s="503"/>
      <c r="D4012" s="503"/>
      <c r="E4012" s="503"/>
      <c r="F4012" s="503"/>
      <c r="G4012" s="1309" t="s">
        <v>3000</v>
      </c>
      <c r="H4012" s="1310"/>
      <c r="I4012" s="1311"/>
      <c r="J4012" s="560">
        <v>1.0438745311870361</v>
      </c>
      <c r="K4012" s="193">
        <f>+K4011*J4012</f>
        <v>7224.6959881442081</v>
      </c>
      <c r="L4012" s="186" t="s">
        <v>1744</v>
      </c>
      <c r="M4012" s="50"/>
      <c r="N4012" s="50"/>
      <c r="O4012" s="5"/>
      <c r="P4012" s="9"/>
      <c r="Q4012" s="34"/>
      <c r="R4012" s="5"/>
      <c r="S4012" s="35"/>
    </row>
    <row r="4013" spans="1:19" ht="30" customHeight="1" thickBot="1" x14ac:dyDescent="0.4">
      <c r="A4013" s="1199"/>
      <c r="B4013" s="1200"/>
      <c r="C4013" s="1200"/>
      <c r="D4013" s="1200"/>
      <c r="E4013" s="1200"/>
      <c r="F4013" s="1200"/>
      <c r="G4013" s="1200"/>
      <c r="H4013" s="1200"/>
      <c r="I4013" s="1200"/>
      <c r="J4013" s="1200"/>
      <c r="K4013" s="1200"/>
      <c r="L4013" s="1201"/>
      <c r="M4013" s="50"/>
      <c r="N4013" s="50"/>
      <c r="O4013" s="5"/>
      <c r="P4013" s="9"/>
      <c r="Q4013" s="34"/>
      <c r="R4013" s="5"/>
      <c r="S4013" s="35"/>
    </row>
    <row r="4014" spans="1:19" ht="30" customHeight="1" x14ac:dyDescent="0.35">
      <c r="A4014" s="388" t="s">
        <v>1</v>
      </c>
      <c r="B4014" s="389">
        <v>8271</v>
      </c>
      <c r="C4014" s="1290" t="s">
        <v>1746</v>
      </c>
      <c r="D4014" s="1291"/>
      <c r="E4014" s="392" t="s">
        <v>3</v>
      </c>
      <c r="F4014" s="393" t="s">
        <v>28</v>
      </c>
      <c r="G4014" s="390" t="s">
        <v>38</v>
      </c>
      <c r="H4014" s="146">
        <v>8018</v>
      </c>
      <c r="I4014" s="392" t="s">
        <v>5</v>
      </c>
      <c r="J4014" s="1207" t="s">
        <v>390</v>
      </c>
      <c r="K4014" s="1207"/>
      <c r="L4014" s="1208"/>
      <c r="M4014" s="50"/>
      <c r="N4014" s="50"/>
      <c r="O4014" s="5"/>
      <c r="P4014" s="9"/>
      <c r="Q4014" s="34"/>
      <c r="R4014" s="5"/>
      <c r="S4014" s="35"/>
    </row>
    <row r="4015" spans="1:19" ht="30" customHeight="1" x14ac:dyDescent="0.35">
      <c r="A4015" s="494" t="s">
        <v>187</v>
      </c>
      <c r="B4015" s="1280" t="s">
        <v>211</v>
      </c>
      <c r="C4015" s="1281"/>
      <c r="D4015" s="1282"/>
      <c r="E4015" s="566" t="s">
        <v>52</v>
      </c>
      <c r="F4015" s="566" t="s">
        <v>53</v>
      </c>
      <c r="G4015" s="1219" t="s">
        <v>54</v>
      </c>
      <c r="H4015" s="1220"/>
      <c r="I4015" s="185" t="s">
        <v>188</v>
      </c>
      <c r="J4015" s="185"/>
      <c r="K4015" s="399" t="s">
        <v>180</v>
      </c>
      <c r="L4015" s="400"/>
      <c r="M4015" s="50"/>
      <c r="N4015" s="50"/>
      <c r="O4015" s="5"/>
      <c r="P4015" s="9"/>
      <c r="Q4015" s="34"/>
      <c r="R4015" s="5"/>
      <c r="S4015" s="35"/>
    </row>
    <row r="4016" spans="1:19" ht="30" customHeight="1" x14ac:dyDescent="0.35">
      <c r="A4016" s="186" t="s">
        <v>1737</v>
      </c>
      <c r="B4016" s="1212" t="s">
        <v>2464</v>
      </c>
      <c r="C4016" s="1213"/>
      <c r="D4016" s="1214"/>
      <c r="E4016" s="7">
        <f>+(48.75+55.5)/2</f>
        <v>52.125</v>
      </c>
      <c r="F4016" s="422" t="s">
        <v>28</v>
      </c>
      <c r="G4016" s="707"/>
      <c r="H4016" s="708"/>
      <c r="I4016" s="186">
        <v>1.06</v>
      </c>
      <c r="J4016" s="422"/>
      <c r="K4016" s="193">
        <f>+E4016*I4016</f>
        <v>55.252500000000005</v>
      </c>
      <c r="L4016" s="422" t="s">
        <v>28</v>
      </c>
      <c r="M4016" s="50"/>
      <c r="N4016" s="50"/>
      <c r="O4016" s="5"/>
      <c r="P4016" s="9"/>
      <c r="Q4016" s="34"/>
      <c r="R4016" s="5"/>
      <c r="S4016" s="35"/>
    </row>
    <row r="4017" spans="1:23" ht="30" customHeight="1" x14ac:dyDescent="0.35">
      <c r="A4017" s="186" t="s">
        <v>1737</v>
      </c>
      <c r="B4017" s="1202" t="s">
        <v>1747</v>
      </c>
      <c r="C4017" s="1203"/>
      <c r="D4017" s="1204"/>
      <c r="E4017" s="7">
        <f>+(48.75+55.5)/2</f>
        <v>52.125</v>
      </c>
      <c r="F4017" s="422" t="s">
        <v>28</v>
      </c>
      <c r="G4017" s="1129"/>
      <c r="H4017" s="1059"/>
      <c r="I4017" s="186">
        <v>1.06</v>
      </c>
      <c r="J4017" s="186"/>
      <c r="K4017" s="7">
        <f>+K4016</f>
        <v>55.252500000000005</v>
      </c>
      <c r="L4017" s="422" t="s">
        <v>28</v>
      </c>
      <c r="M4017" s="50"/>
      <c r="N4017" s="50"/>
      <c r="O4017" s="5"/>
      <c r="P4017" s="9"/>
      <c r="Q4017" s="34"/>
      <c r="R4017" s="5"/>
      <c r="S4017" s="35"/>
    </row>
    <row r="4018" spans="1:23" ht="30" customHeight="1" x14ac:dyDescent="0.35">
      <c r="A4018" s="186" t="s">
        <v>452</v>
      </c>
      <c r="B4018" s="1202" t="s">
        <v>1748</v>
      </c>
      <c r="C4018" s="1203"/>
      <c r="D4018" s="1204"/>
      <c r="E4018" s="194">
        <f>+(2800+4700)/2</f>
        <v>3750</v>
      </c>
      <c r="F4018" s="127" t="s">
        <v>40</v>
      </c>
      <c r="G4018" s="854">
        <v>316</v>
      </c>
      <c r="H4018" s="714" t="s">
        <v>1749</v>
      </c>
      <c r="I4018" s="186">
        <v>1.06</v>
      </c>
      <c r="J4018" s="422"/>
      <c r="K4018" s="658">
        <f>+E4018/G4018*I4018</f>
        <v>12.579113924050633</v>
      </c>
      <c r="L4018" s="186" t="s">
        <v>28</v>
      </c>
      <c r="M4018" s="50"/>
      <c r="N4018" s="50"/>
      <c r="O4018" s="5"/>
      <c r="P4018" s="9"/>
      <c r="Q4018" s="34"/>
      <c r="R4018" s="5"/>
      <c r="S4018" s="35"/>
    </row>
    <row r="4019" spans="1:23" ht="30" customHeight="1" x14ac:dyDescent="0.35">
      <c r="A4019" s="790"/>
      <c r="B4019" s="1211"/>
      <c r="C4019" s="1211"/>
      <c r="D4019" s="1211"/>
      <c r="E4019" s="194"/>
      <c r="F4019" s="186"/>
      <c r="G4019" s="422"/>
      <c r="H4019" s="422"/>
      <c r="I4019" s="186"/>
      <c r="J4019" s="186" t="s">
        <v>223</v>
      </c>
      <c r="K4019" s="194">
        <f>+K4016+K4017+K4018</f>
        <v>123.08411392405064</v>
      </c>
      <c r="L4019" s="186" t="s">
        <v>28</v>
      </c>
      <c r="M4019" s="50"/>
      <c r="O4019" s="5"/>
      <c r="P4019" s="9"/>
      <c r="Q4019" s="34"/>
      <c r="R4019" s="5"/>
      <c r="S4019" s="35"/>
      <c r="U4019" s="396"/>
      <c r="V4019" s="396"/>
      <c r="W4019" s="396"/>
    </row>
    <row r="4020" spans="1:23" ht="30" customHeight="1" x14ac:dyDescent="0.35">
      <c r="A4020" s="186"/>
      <c r="B4020" s="567"/>
      <c r="C4020" s="567"/>
      <c r="D4020" s="567"/>
      <c r="E4020" s="194"/>
      <c r="F4020" s="1215" t="s">
        <v>195</v>
      </c>
      <c r="G4020" s="1273" t="s">
        <v>196</v>
      </c>
      <c r="H4020" s="1273"/>
      <c r="I4020" s="1273"/>
      <c r="J4020" s="1273"/>
      <c r="K4020" s="196">
        <v>1.07</v>
      </c>
      <c r="L4020" s="186"/>
      <c r="M4020" s="50"/>
      <c r="N4020" s="50"/>
      <c r="O4020" s="466"/>
      <c r="P4020" s="384"/>
      <c r="Q4020" s="1109"/>
      <c r="R4020" s="466"/>
      <c r="S4020" s="1110"/>
      <c r="T4020" s="396"/>
      <c r="U4020" s="10"/>
    </row>
    <row r="4021" spans="1:23" ht="30" customHeight="1" x14ac:dyDescent="0.35">
      <c r="A4021" s="186"/>
      <c r="B4021" s="567"/>
      <c r="C4021" s="567"/>
      <c r="D4021" s="567"/>
      <c r="E4021" s="194"/>
      <c r="F4021" s="1216"/>
      <c r="G4021" s="1268" t="s">
        <v>276</v>
      </c>
      <c r="H4021" s="1268"/>
      <c r="I4021" s="1268"/>
      <c r="J4021" s="1268"/>
      <c r="K4021" s="196">
        <v>1.08</v>
      </c>
      <c r="L4021" s="196"/>
      <c r="M4021" s="50"/>
      <c r="N4021" s="96"/>
    </row>
    <row r="4022" spans="1:23" ht="30" customHeight="1" x14ac:dyDescent="0.35">
      <c r="A4022" s="186"/>
      <c r="B4022" s="186"/>
      <c r="C4022" s="503"/>
      <c r="D4022" s="503"/>
      <c r="E4022" s="503"/>
      <c r="F4022" s="503"/>
      <c r="G4022" s="503"/>
      <c r="H4022" s="503"/>
      <c r="I4022" s="503"/>
      <c r="J4022" s="186" t="s">
        <v>37</v>
      </c>
      <c r="K4022" s="193">
        <f>+K4019*K4020/K4021</f>
        <v>121.94444620253167</v>
      </c>
      <c r="L4022" s="186" t="s">
        <v>28</v>
      </c>
      <c r="M4022" s="50"/>
      <c r="N4022" s="50"/>
      <c r="O4022" s="5"/>
      <c r="Q4022" s="34"/>
      <c r="R4022" s="5"/>
      <c r="S4022" s="35"/>
      <c r="U4022" s="10"/>
    </row>
    <row r="4023" spans="1:23" ht="30" customHeight="1" x14ac:dyDescent="0.35">
      <c r="A4023" s="186"/>
      <c r="B4023" s="186"/>
      <c r="C4023" s="503"/>
      <c r="D4023" s="503"/>
      <c r="E4023" s="503"/>
      <c r="F4023" s="503"/>
      <c r="G4023" s="1374" t="s">
        <v>257</v>
      </c>
      <c r="H4023" s="1375"/>
      <c r="I4023" s="1376"/>
      <c r="J4023" s="560">
        <f>VLOOKUP(B4014,'Mil Cost Premiums for PUCs'!$A$4:$R$285,18,FALSE)</f>
        <v>1.0905505199999999</v>
      </c>
      <c r="K4023" s="193">
        <f>+K4022*J4023</f>
        <v>132.98657921728292</v>
      </c>
      <c r="L4023" s="186" t="s">
        <v>28</v>
      </c>
      <c r="M4023" s="50"/>
      <c r="N4023" s="50"/>
      <c r="O4023" s="5"/>
      <c r="Q4023" s="34"/>
      <c r="R4023" s="5"/>
      <c r="S4023" s="35"/>
      <c r="U4023" s="10"/>
    </row>
    <row r="4024" spans="1:23" ht="30" customHeight="1" x14ac:dyDescent="0.35">
      <c r="A4024" s="904"/>
      <c r="B4024" s="904"/>
      <c r="C4024" s="905"/>
      <c r="D4024" s="905"/>
      <c r="E4024" s="905"/>
      <c r="F4024" s="1415" t="s">
        <v>277</v>
      </c>
      <c r="G4024" s="1415"/>
      <c r="H4024" s="1415"/>
      <c r="I4024" s="1415"/>
      <c r="J4024" s="1086">
        <v>1.0833999999999999</v>
      </c>
      <c r="K4024" s="1087">
        <f>K4023*J4024</f>
        <v>144.07765992400431</v>
      </c>
      <c r="L4024" s="186" t="s">
        <v>28</v>
      </c>
      <c r="M4024" s="50"/>
      <c r="N4024" s="50"/>
      <c r="O4024" s="5"/>
      <c r="T4024" s="10"/>
      <c r="U4024" s="53"/>
    </row>
    <row r="4025" spans="1:23" ht="30" customHeight="1" x14ac:dyDescent="0.35">
      <c r="A4025" s="569"/>
      <c r="B4025" s="569"/>
      <c r="C4025" s="510"/>
      <c r="D4025" s="510"/>
      <c r="E4025" s="510"/>
      <c r="F4025" s="510"/>
      <c r="G4025" s="1737" t="s">
        <v>2817</v>
      </c>
      <c r="H4025" s="1738"/>
      <c r="I4025" s="1739"/>
      <c r="J4025" s="570">
        <v>1.1214</v>
      </c>
      <c r="K4025" s="285">
        <f>+K4024*J4025</f>
        <v>161.56868783877843</v>
      </c>
      <c r="L4025" s="186" t="s">
        <v>28</v>
      </c>
      <c r="M4025" s="50"/>
      <c r="N4025" s="50"/>
      <c r="O4025" s="5"/>
      <c r="T4025" s="10"/>
    </row>
    <row r="4026" spans="1:23" ht="30" customHeight="1" thickBot="1" x14ac:dyDescent="0.4">
      <c r="A4026" s="569"/>
      <c r="B4026" s="569"/>
      <c r="C4026" s="510"/>
      <c r="D4026" s="510"/>
      <c r="E4026" s="510"/>
      <c r="F4026" s="510"/>
      <c r="G4026" s="1191" t="s">
        <v>3000</v>
      </c>
      <c r="H4026" s="1192"/>
      <c r="I4026" s="1193"/>
      <c r="J4026" s="570">
        <v>1.0438745311870361</v>
      </c>
      <c r="K4026" s="285">
        <f>+K4025*J4026</f>
        <v>168.65743827220942</v>
      </c>
      <c r="L4026" s="186" t="s">
        <v>28</v>
      </c>
      <c r="M4026" s="50"/>
      <c r="N4026" s="50"/>
      <c r="O4026" s="5"/>
      <c r="T4026" s="10"/>
      <c r="U4026" s="10"/>
    </row>
    <row r="4027" spans="1:23" ht="30" customHeight="1" thickBot="1" x14ac:dyDescent="0.4">
      <c r="A4027" s="1199"/>
      <c r="B4027" s="1200"/>
      <c r="C4027" s="1200"/>
      <c r="D4027" s="1200"/>
      <c r="E4027" s="1200"/>
      <c r="F4027" s="1200"/>
      <c r="G4027" s="1200"/>
      <c r="H4027" s="1200"/>
      <c r="I4027" s="1200"/>
      <c r="J4027" s="1200"/>
      <c r="K4027" s="1200"/>
      <c r="L4027" s="1201"/>
      <c r="N4027" s="50"/>
      <c r="O4027" s="5"/>
      <c r="P4027" s="9"/>
    </row>
    <row r="4028" spans="1:23" ht="30" customHeight="1" x14ac:dyDescent="0.35">
      <c r="A4028" s="388" t="s">
        <v>1</v>
      </c>
      <c r="B4028" s="389">
        <v>8311</v>
      </c>
      <c r="C4028" s="1205" t="s">
        <v>1750</v>
      </c>
      <c r="D4028" s="1206"/>
      <c r="E4028" s="392" t="s">
        <v>3</v>
      </c>
      <c r="F4028" s="393" t="s">
        <v>1751</v>
      </c>
      <c r="G4028" s="390" t="s">
        <v>38</v>
      </c>
      <c r="H4028" s="132">
        <v>978.84475716440397</v>
      </c>
      <c r="I4028" s="392" t="s">
        <v>5</v>
      </c>
      <c r="J4028" s="1207" t="s">
        <v>995</v>
      </c>
      <c r="K4028" s="1207"/>
      <c r="L4028" s="1208"/>
      <c r="M4028" s="50"/>
      <c r="N4028" s="539"/>
      <c r="O4028" s="5"/>
      <c r="P4028" s="9"/>
    </row>
    <row r="4029" spans="1:23" ht="30" customHeight="1" x14ac:dyDescent="0.35">
      <c r="A4029" s="494" t="s">
        <v>187</v>
      </c>
      <c r="B4029" s="1280" t="s">
        <v>211</v>
      </c>
      <c r="C4029" s="1281"/>
      <c r="D4029" s="1282"/>
      <c r="E4029" s="566" t="s">
        <v>52</v>
      </c>
      <c r="F4029" s="566" t="s">
        <v>53</v>
      </c>
      <c r="G4029" s="1219" t="s">
        <v>54</v>
      </c>
      <c r="H4029" s="1220"/>
      <c r="I4029" s="185" t="s">
        <v>188</v>
      </c>
      <c r="J4029" s="185" t="s">
        <v>179</v>
      </c>
      <c r="K4029" s="399" t="s">
        <v>180</v>
      </c>
      <c r="L4029" s="400"/>
      <c r="M4029" s="50"/>
      <c r="N4029" s="50"/>
      <c r="O4029" s="5"/>
      <c r="P4029" s="9"/>
      <c r="T4029" s="10"/>
    </row>
    <row r="4030" spans="1:23" ht="30" customHeight="1" x14ac:dyDescent="0.35">
      <c r="A4030" s="186" t="s">
        <v>997</v>
      </c>
      <c r="B4030" s="1212" t="s">
        <v>1752</v>
      </c>
      <c r="C4030" s="1213"/>
      <c r="D4030" s="1214"/>
      <c r="E4030" s="7">
        <f>+(4.11+8.55)/2</f>
        <v>6.33</v>
      </c>
      <c r="F4030" s="422" t="s">
        <v>2680</v>
      </c>
      <c r="G4030" s="707">
        <v>1000</v>
      </c>
      <c r="H4030" s="708" t="s">
        <v>1753</v>
      </c>
      <c r="I4030" s="186">
        <v>1.05</v>
      </c>
      <c r="J4030" s="1022">
        <f>+'FY2024 MILCON Inflation Table'!D19/+'FY2024 MILCON Inflation Table'!D14</f>
        <v>1.3545159367405897</v>
      </c>
      <c r="K4030" s="193">
        <f>+E4030*G4030*I4030*J4030</f>
        <v>9002.7901735463292</v>
      </c>
      <c r="L4030" s="422" t="s">
        <v>1751</v>
      </c>
      <c r="M4030" s="50"/>
      <c r="N4030" s="50"/>
      <c r="O4030" s="5"/>
      <c r="T4030" s="10"/>
      <c r="U4030" s="10"/>
    </row>
    <row r="4031" spans="1:23" ht="30" customHeight="1" x14ac:dyDescent="0.35">
      <c r="A4031" s="186"/>
      <c r="B4031" s="567"/>
      <c r="C4031" s="567"/>
      <c r="D4031" s="567"/>
      <c r="E4031" s="194"/>
      <c r="F4031" s="1215" t="s">
        <v>195</v>
      </c>
      <c r="G4031" s="1273" t="s">
        <v>196</v>
      </c>
      <c r="H4031" s="1273"/>
      <c r="I4031" s="1273"/>
      <c r="J4031" s="1273"/>
      <c r="K4031" s="196">
        <v>1.06</v>
      </c>
      <c r="L4031" s="186"/>
      <c r="M4031" s="50"/>
      <c r="N4031" s="50"/>
      <c r="Q4031" s="34"/>
      <c r="R4031" s="5"/>
      <c r="S4031" s="35"/>
      <c r="U4031" s="10"/>
    </row>
    <row r="4032" spans="1:23" ht="30" customHeight="1" x14ac:dyDescent="0.35">
      <c r="A4032" s="186"/>
      <c r="B4032" s="567"/>
      <c r="C4032" s="567"/>
      <c r="D4032" s="567"/>
      <c r="E4032" s="194"/>
      <c r="F4032" s="1216"/>
      <c r="G4032" s="1268" t="s">
        <v>3036</v>
      </c>
      <c r="H4032" s="1268"/>
      <c r="I4032" s="1268"/>
      <c r="J4032" s="1268"/>
      <c r="K4032" s="196">
        <v>1.02</v>
      </c>
      <c r="L4032" s="186"/>
      <c r="M4032" s="50"/>
      <c r="N4032" s="50"/>
      <c r="T4032" s="10"/>
    </row>
    <row r="4033" spans="1:21" ht="30" customHeight="1" x14ac:dyDescent="0.35">
      <c r="A4033" s="186"/>
      <c r="B4033" s="373"/>
      <c r="C4033" s="374"/>
      <c r="D4033" s="375"/>
      <c r="E4033" s="7"/>
      <c r="F4033" s="422"/>
      <c r="G4033" s="1128"/>
      <c r="H4033" s="708"/>
      <c r="I4033" s="186"/>
      <c r="J4033" s="186" t="s">
        <v>37</v>
      </c>
      <c r="K4033" s="193">
        <f>+K4030*K4031/K4032</f>
        <v>9355.8407685873608</v>
      </c>
      <c r="L4033" s="186" t="s">
        <v>1751</v>
      </c>
      <c r="M4033" s="50"/>
      <c r="N4033" s="50"/>
      <c r="T4033" s="53"/>
    </row>
    <row r="4034" spans="1:21" ht="30" customHeight="1" x14ac:dyDescent="0.35">
      <c r="A4034" s="176"/>
      <c r="B4034" s="988"/>
      <c r="C4034" s="988"/>
      <c r="D4034" s="988"/>
      <c r="E4034" s="13"/>
      <c r="G4034" s="1130"/>
      <c r="I4034" s="944" t="s">
        <v>257</v>
      </c>
      <c r="J4034" s="560">
        <f>VLOOKUP(B4028,'Mil Cost Premiums for PUCs'!$A$4:$R$285,18,FALSE)</f>
        <v>1.1199953840399997</v>
      </c>
      <c r="K4034" s="193">
        <f>+K4033*J4034</f>
        <v>10478.498474631087</v>
      </c>
      <c r="L4034" s="186" t="s">
        <v>1751</v>
      </c>
      <c r="M4034" s="50"/>
      <c r="N4034" s="50"/>
      <c r="T4034" s="10"/>
    </row>
    <row r="4035" spans="1:21" ht="30" customHeight="1" thickBot="1" x14ac:dyDescent="0.4">
      <c r="A4035" s="176"/>
      <c r="B4035" s="988"/>
      <c r="C4035" s="988"/>
      <c r="D4035" s="988"/>
      <c r="E4035" s="13"/>
      <c r="G4035" s="1130"/>
      <c r="I4035" s="944" t="s">
        <v>3000</v>
      </c>
      <c r="J4035" s="560">
        <v>1.0438745311870361</v>
      </c>
      <c r="K4035" s="193">
        <f>+K4034*J4035</f>
        <v>10938.237682749599</v>
      </c>
      <c r="L4035" s="186" t="s">
        <v>1751</v>
      </c>
      <c r="M4035" s="50"/>
      <c r="N4035" s="50"/>
      <c r="U4035" s="53"/>
    </row>
    <row r="4036" spans="1:21" ht="30" customHeight="1" thickBot="1" x14ac:dyDescent="0.4">
      <c r="A4036" s="1199"/>
      <c r="B4036" s="1200"/>
      <c r="C4036" s="1200"/>
      <c r="D4036" s="1200"/>
      <c r="E4036" s="1200"/>
      <c r="F4036" s="1200"/>
      <c r="G4036" s="1200"/>
      <c r="H4036" s="1200"/>
      <c r="I4036" s="1200"/>
      <c r="J4036" s="1200"/>
      <c r="K4036" s="1200"/>
      <c r="L4036" s="1201"/>
      <c r="M4036" s="50"/>
      <c r="O4036" s="5"/>
      <c r="T4036" s="10"/>
    </row>
    <row r="4037" spans="1:21" ht="30" customHeight="1" x14ac:dyDescent="0.35">
      <c r="A4037" s="388" t="s">
        <v>1</v>
      </c>
      <c r="B4037" s="389">
        <v>8312</v>
      </c>
      <c r="C4037" s="1205" t="s">
        <v>1754</v>
      </c>
      <c r="D4037" s="1206"/>
      <c r="E4037" s="392" t="s">
        <v>3</v>
      </c>
      <c r="F4037" s="393" t="s">
        <v>1751</v>
      </c>
      <c r="G4037" s="390" t="s">
        <v>38</v>
      </c>
      <c r="H4037" s="132">
        <v>494</v>
      </c>
      <c r="I4037" s="392" t="s">
        <v>5</v>
      </c>
      <c r="J4037" s="1207" t="s">
        <v>995</v>
      </c>
      <c r="K4037" s="1207"/>
      <c r="L4037" s="1208"/>
      <c r="M4037" s="50"/>
      <c r="N4037" s="50"/>
    </row>
    <row r="4038" spans="1:21" ht="30" customHeight="1" x14ac:dyDescent="0.35">
      <c r="A4038" s="494" t="s">
        <v>187</v>
      </c>
      <c r="B4038" s="1280" t="s">
        <v>211</v>
      </c>
      <c r="C4038" s="1281"/>
      <c r="D4038" s="1282"/>
      <c r="E4038" s="566" t="s">
        <v>52</v>
      </c>
      <c r="F4038" s="566" t="s">
        <v>53</v>
      </c>
      <c r="G4038" s="1219" t="s">
        <v>54</v>
      </c>
      <c r="H4038" s="1220"/>
      <c r="I4038" s="185" t="s">
        <v>188</v>
      </c>
      <c r="J4038" s="185" t="s">
        <v>179</v>
      </c>
      <c r="K4038" s="399" t="s">
        <v>180</v>
      </c>
      <c r="L4038" s="400"/>
      <c r="M4038" s="50"/>
      <c r="N4038" s="50"/>
      <c r="U4038" s="10"/>
    </row>
    <row r="4039" spans="1:21" ht="30" customHeight="1" x14ac:dyDescent="0.35">
      <c r="A4039" s="186" t="s">
        <v>997</v>
      </c>
      <c r="B4039" s="1212" t="s">
        <v>2809</v>
      </c>
      <c r="C4039" s="1213"/>
      <c r="D4039" s="1214"/>
      <c r="E4039" s="7">
        <v>9.31</v>
      </c>
      <c r="F4039" s="422" t="s">
        <v>2680</v>
      </c>
      <c r="G4039" s="707">
        <v>1000</v>
      </c>
      <c r="H4039" s="708" t="s">
        <v>1753</v>
      </c>
      <c r="I4039" s="186">
        <v>1.05</v>
      </c>
      <c r="J4039" s="1022">
        <f>+'FY2024 MILCON Inflation Table'!D19/+'FY2024 MILCON Inflation Table'!D14</f>
        <v>1.3545159367405897</v>
      </c>
      <c r="K4039" s="193">
        <f>+E4039*G4039*I4039*J4039</f>
        <v>13241.070539607634</v>
      </c>
      <c r="L4039" s="422" t="s">
        <v>1751</v>
      </c>
      <c r="M4039" s="50"/>
      <c r="N4039" s="50"/>
      <c r="U4039" s="10"/>
    </row>
    <row r="4040" spans="1:21" ht="30" customHeight="1" x14ac:dyDescent="0.35">
      <c r="A4040" s="186"/>
      <c r="B4040" s="567"/>
      <c r="C4040" s="567"/>
      <c r="D4040" s="567"/>
      <c r="E4040" s="194"/>
      <c r="F4040" s="1215" t="s">
        <v>195</v>
      </c>
      <c r="G4040" s="1273" t="s">
        <v>196</v>
      </c>
      <c r="H4040" s="1273"/>
      <c r="I4040" s="1273"/>
      <c r="J4040" s="1273"/>
      <c r="K4040" s="196">
        <v>1.06</v>
      </c>
      <c r="L4040" s="186"/>
      <c r="M4040" s="50"/>
      <c r="N4040" s="50"/>
      <c r="O4040" s="5"/>
    </row>
    <row r="4041" spans="1:21" ht="30" customHeight="1" x14ac:dyDescent="0.35">
      <c r="A4041" s="186"/>
      <c r="B4041" s="567"/>
      <c r="C4041" s="567"/>
      <c r="D4041" s="567"/>
      <c r="E4041" s="194"/>
      <c r="F4041" s="1216"/>
      <c r="G4041" s="1268" t="s">
        <v>3036</v>
      </c>
      <c r="H4041" s="1268"/>
      <c r="I4041" s="1268"/>
      <c r="J4041" s="1268"/>
      <c r="K4041" s="196">
        <v>1.02</v>
      </c>
      <c r="L4041" s="186"/>
      <c r="M4041" s="50"/>
      <c r="N4041" s="50"/>
      <c r="O4041" s="5"/>
      <c r="T4041" s="10"/>
    </row>
    <row r="4042" spans="1:21" ht="30" customHeight="1" x14ac:dyDescent="0.35">
      <c r="A4042" s="186"/>
      <c r="B4042" s="1044"/>
      <c r="C4042" s="1044"/>
      <c r="D4042" s="1044"/>
      <c r="E4042" s="7"/>
      <c r="F4042" s="422"/>
      <c r="G4042" s="1128"/>
      <c r="H4042" s="708"/>
      <c r="I4042" s="186"/>
      <c r="J4042" s="186" t="s">
        <v>37</v>
      </c>
      <c r="K4042" s="193">
        <f>+K4039*K4040/K4041</f>
        <v>13760.328207827541</v>
      </c>
      <c r="L4042" s="186" t="s">
        <v>1751</v>
      </c>
      <c r="M4042" s="50"/>
      <c r="N4042" s="50"/>
      <c r="T4042" s="10"/>
    </row>
    <row r="4043" spans="1:21" ht="30" customHeight="1" x14ac:dyDescent="0.35">
      <c r="A4043" s="186"/>
      <c r="B4043" s="186"/>
      <c r="C4043" s="503"/>
      <c r="D4043" s="503"/>
      <c r="E4043" s="503"/>
      <c r="F4043" s="503"/>
      <c r="G4043" s="1194" t="s">
        <v>257</v>
      </c>
      <c r="H4043" s="1195"/>
      <c r="I4043" s="1196"/>
      <c r="J4043" s="560">
        <f>VLOOKUP(B4037,'Mil Cost Premiums for PUCs'!$A$4:$R$285,18,FALSE)</f>
        <v>1.1199953840399997</v>
      </c>
      <c r="K4043" s="193">
        <f>+K4042*J4043</f>
        <v>15411.504075642246</v>
      </c>
      <c r="L4043" s="186" t="s">
        <v>1751</v>
      </c>
      <c r="M4043" s="96"/>
      <c r="N4043" s="50"/>
    </row>
    <row r="4044" spans="1:21" ht="30" customHeight="1" thickBot="1" x14ac:dyDescent="0.4">
      <c r="A4044" s="186"/>
      <c r="B4044" s="186"/>
      <c r="C4044" s="503"/>
      <c r="D4044" s="503"/>
      <c r="E4044" s="503"/>
      <c r="F4044" s="503"/>
      <c r="G4044" s="1309" t="s">
        <v>3000</v>
      </c>
      <c r="H4044" s="1310"/>
      <c r="I4044" s="1311"/>
      <c r="J4044" s="560">
        <v>1.0438745311870361</v>
      </c>
      <c r="K4044" s="193">
        <f>+K4043*J4044</f>
        <v>16087.676591848145</v>
      </c>
      <c r="L4044" s="186" t="s">
        <v>1751</v>
      </c>
      <c r="M4044" s="96"/>
      <c r="N4044" s="50"/>
    </row>
    <row r="4045" spans="1:21" ht="30" customHeight="1" thickBot="1" x14ac:dyDescent="0.4">
      <c r="A4045" s="1199"/>
      <c r="B4045" s="1200"/>
      <c r="C4045" s="1200"/>
      <c r="D4045" s="1200"/>
      <c r="E4045" s="1200"/>
      <c r="F4045" s="1200"/>
      <c r="G4045" s="1200"/>
      <c r="H4045" s="1200"/>
      <c r="I4045" s="1200"/>
      <c r="J4045" s="1200"/>
      <c r="K4045" s="1200"/>
      <c r="L4045" s="1201"/>
      <c r="M4045" s="50"/>
      <c r="N4045" s="50"/>
    </row>
    <row r="4046" spans="1:21" ht="30" customHeight="1" x14ac:dyDescent="0.35">
      <c r="A4046" s="388" t="s">
        <v>1</v>
      </c>
      <c r="B4046" s="389">
        <v>8313</v>
      </c>
      <c r="C4046" s="1205" t="s">
        <v>1755</v>
      </c>
      <c r="D4046" s="1206"/>
      <c r="E4046" s="392" t="s">
        <v>3</v>
      </c>
      <c r="F4046" s="393" t="s">
        <v>1751</v>
      </c>
      <c r="G4046" s="390" t="s">
        <v>38</v>
      </c>
      <c r="H4046" s="132">
        <v>406</v>
      </c>
      <c r="I4046" s="392" t="s">
        <v>5</v>
      </c>
      <c r="J4046" s="1207" t="s">
        <v>2874</v>
      </c>
      <c r="K4046" s="1207"/>
      <c r="L4046" s="1208"/>
      <c r="M4046" s="50"/>
      <c r="N4046" s="50"/>
      <c r="T4046" s="10"/>
      <c r="U4046" s="10"/>
    </row>
    <row r="4047" spans="1:21" ht="30" customHeight="1" x14ac:dyDescent="0.35">
      <c r="A4047" s="494" t="s">
        <v>187</v>
      </c>
      <c r="B4047" s="1280" t="s">
        <v>211</v>
      </c>
      <c r="C4047" s="1281"/>
      <c r="D4047" s="1282"/>
      <c r="E4047" s="566" t="s">
        <v>52</v>
      </c>
      <c r="F4047" s="566" t="s">
        <v>53</v>
      </c>
      <c r="G4047" s="1219" t="s">
        <v>54</v>
      </c>
      <c r="H4047" s="1220"/>
      <c r="I4047" s="185" t="s">
        <v>188</v>
      </c>
      <c r="J4047" s="185"/>
      <c r="K4047" s="399" t="s">
        <v>180</v>
      </c>
      <c r="L4047" s="400"/>
      <c r="M4047" s="50"/>
      <c r="N4047" s="50"/>
      <c r="U4047" s="10"/>
    </row>
    <row r="4048" spans="1:21" ht="30" customHeight="1" x14ac:dyDescent="0.35">
      <c r="A4048" s="186" t="s">
        <v>1756</v>
      </c>
      <c r="B4048" s="1212" t="s">
        <v>1757</v>
      </c>
      <c r="C4048" s="1213"/>
      <c r="D4048" s="1214"/>
      <c r="E4048" s="7">
        <v>20600</v>
      </c>
      <c r="F4048" s="422" t="s">
        <v>40</v>
      </c>
      <c r="G4048" s="1131">
        <f>+H4046</f>
        <v>406</v>
      </c>
      <c r="H4048" s="708" t="s">
        <v>1758</v>
      </c>
      <c r="I4048" s="204">
        <v>1.03</v>
      </c>
      <c r="J4048" s="422"/>
      <c r="K4048" s="193">
        <f>+E4048/G4048*I4048</f>
        <v>52.26108374384237</v>
      </c>
      <c r="L4048" s="422" t="s">
        <v>1751</v>
      </c>
      <c r="M4048" s="50"/>
      <c r="P4048" s="9"/>
    </row>
    <row r="4049" spans="1:21" ht="30" customHeight="1" x14ac:dyDescent="0.35">
      <c r="A4049" s="186"/>
      <c r="B4049" s="567"/>
      <c r="C4049" s="567"/>
      <c r="D4049" s="567"/>
      <c r="E4049" s="194"/>
      <c r="F4049" s="1215" t="s">
        <v>195</v>
      </c>
      <c r="G4049" s="1273" t="s">
        <v>196</v>
      </c>
      <c r="H4049" s="1273"/>
      <c r="I4049" s="1273"/>
      <c r="J4049" s="1273"/>
      <c r="K4049" s="196">
        <v>1.05</v>
      </c>
      <c r="L4049" s="186"/>
      <c r="M4049" s="50"/>
      <c r="N4049" s="10"/>
      <c r="P4049" s="9"/>
      <c r="T4049" s="10"/>
    </row>
    <row r="4050" spans="1:21" ht="30" customHeight="1" x14ac:dyDescent="0.35">
      <c r="A4050" s="186"/>
      <c r="B4050" s="567"/>
      <c r="C4050" s="567"/>
      <c r="D4050" s="567"/>
      <c r="E4050" s="194"/>
      <c r="F4050" s="1216"/>
      <c r="G4050" s="1268" t="s">
        <v>2875</v>
      </c>
      <c r="H4050" s="1268"/>
      <c r="I4050" s="1268"/>
      <c r="J4050" s="1268"/>
      <c r="K4050" s="196">
        <v>1.07</v>
      </c>
      <c r="L4050" s="186"/>
      <c r="M4050" s="96"/>
      <c r="N4050" s="10"/>
      <c r="O4050" s="5"/>
      <c r="P4050" s="9"/>
      <c r="Q4050" s="34"/>
      <c r="R4050" s="5"/>
      <c r="S4050" s="35"/>
    </row>
    <row r="4051" spans="1:21" ht="30" customHeight="1" x14ac:dyDescent="0.35">
      <c r="A4051" s="186"/>
      <c r="B4051" s="373"/>
      <c r="C4051" s="374"/>
      <c r="D4051" s="375"/>
      <c r="E4051" s="7"/>
      <c r="F4051" s="422"/>
      <c r="G4051" s="1128"/>
      <c r="H4051" s="708"/>
      <c r="I4051" s="186"/>
      <c r="J4051" s="186" t="s">
        <v>37</v>
      </c>
      <c r="K4051" s="193">
        <f>+K4048*K4049/K4050</f>
        <v>51.284241057041577</v>
      </c>
      <c r="L4051" s="186" t="s">
        <v>1751</v>
      </c>
      <c r="M4051" s="50"/>
      <c r="P4051" s="9"/>
      <c r="T4051" s="10"/>
    </row>
    <row r="4052" spans="1:21" ht="30" customHeight="1" thickBot="1" x14ac:dyDescent="0.4">
      <c r="A4052" s="186"/>
      <c r="B4052" s="186"/>
      <c r="C4052" s="503"/>
      <c r="D4052" s="503"/>
      <c r="E4052" s="503"/>
      <c r="F4052" s="503"/>
      <c r="G4052" s="1194" t="s">
        <v>257</v>
      </c>
      <c r="H4052" s="1195"/>
      <c r="I4052" s="1196"/>
      <c r="J4052" s="560">
        <f>VLOOKUP(B4046,'Mil Cost Premiums for PUCs'!$A$4:$R$285,18,FALSE)</f>
        <v>1.1199953840399997</v>
      </c>
      <c r="K4052" s="193">
        <f>+K4051*J4052</f>
        <v>57.438113257881199</v>
      </c>
      <c r="L4052" s="186" t="s">
        <v>1751</v>
      </c>
      <c r="M4052" s="50"/>
      <c r="P4052" s="9"/>
      <c r="Q4052" s="34"/>
      <c r="R4052" s="5"/>
      <c r="S4052" s="35"/>
    </row>
    <row r="4053" spans="1:21" ht="30" customHeight="1" thickBot="1" x14ac:dyDescent="0.4">
      <c r="A4053" s="1199"/>
      <c r="B4053" s="1200"/>
      <c r="C4053" s="1200"/>
      <c r="D4053" s="1200"/>
      <c r="E4053" s="1200"/>
      <c r="F4053" s="1200"/>
      <c r="G4053" s="1200"/>
      <c r="H4053" s="1200"/>
      <c r="I4053" s="1200"/>
      <c r="J4053" s="1200"/>
      <c r="K4053" s="1200"/>
      <c r="L4053" s="1201"/>
      <c r="P4053" s="9"/>
      <c r="Q4053" s="34"/>
      <c r="R4053" s="5"/>
      <c r="S4053" s="35"/>
    </row>
    <row r="4054" spans="1:21" ht="30" customHeight="1" x14ac:dyDescent="0.35">
      <c r="A4054" s="388" t="s">
        <v>1</v>
      </c>
      <c r="B4054" s="389">
        <v>8314</v>
      </c>
      <c r="C4054" s="1205" t="s">
        <v>1759</v>
      </c>
      <c r="D4054" s="1206"/>
      <c r="E4054" s="392" t="s">
        <v>3</v>
      </c>
      <c r="F4054" s="393" t="s">
        <v>113</v>
      </c>
      <c r="G4054" s="390" t="s">
        <v>38</v>
      </c>
      <c r="H4054" s="132">
        <v>11392</v>
      </c>
      <c r="I4054" s="392" t="s">
        <v>5</v>
      </c>
      <c r="J4054" s="1207" t="s">
        <v>390</v>
      </c>
      <c r="K4054" s="1207"/>
      <c r="L4054" s="1208"/>
      <c r="M4054" s="50"/>
      <c r="P4054" s="9"/>
      <c r="Q4054" s="34"/>
      <c r="R4054" s="5"/>
      <c r="S4054" s="35"/>
    </row>
    <row r="4055" spans="1:21" ht="30" customHeight="1" x14ac:dyDescent="0.35">
      <c r="A4055" s="494" t="s">
        <v>187</v>
      </c>
      <c r="B4055" s="1280" t="s">
        <v>211</v>
      </c>
      <c r="C4055" s="1281"/>
      <c r="D4055" s="1282"/>
      <c r="E4055" s="566" t="s">
        <v>52</v>
      </c>
      <c r="F4055" s="566" t="s">
        <v>53</v>
      </c>
      <c r="G4055" s="1219" t="s">
        <v>54</v>
      </c>
      <c r="H4055" s="1220"/>
      <c r="I4055" s="185" t="s">
        <v>188</v>
      </c>
      <c r="J4055" s="185"/>
      <c r="K4055" s="399" t="s">
        <v>180</v>
      </c>
      <c r="L4055" s="400"/>
      <c r="M4055" s="50"/>
      <c r="P4055" s="9"/>
      <c r="Q4055" s="34"/>
      <c r="R4055" s="5"/>
      <c r="S4055" s="35"/>
    </row>
    <row r="4056" spans="1:21" ht="30" customHeight="1" x14ac:dyDescent="0.35">
      <c r="A4056" s="186" t="s">
        <v>1119</v>
      </c>
      <c r="B4056" s="373" t="s">
        <v>1760</v>
      </c>
      <c r="C4056" s="374"/>
      <c r="D4056" s="375"/>
      <c r="E4056" s="7">
        <f>+(16300+20300)/2</f>
        <v>18300</v>
      </c>
      <c r="F4056" s="422" t="s">
        <v>40</v>
      </c>
      <c r="G4056" s="17">
        <v>10000</v>
      </c>
      <c r="H4056" s="708" t="s">
        <v>1118</v>
      </c>
      <c r="I4056" s="186">
        <v>1.01</v>
      </c>
      <c r="J4056" s="422"/>
      <c r="K4056" s="193">
        <f>+E4056/G4056*I4056</f>
        <v>1.8483000000000001</v>
      </c>
      <c r="L4056" s="422" t="s">
        <v>113</v>
      </c>
      <c r="M4056" s="50"/>
      <c r="N4056" s="59"/>
      <c r="P4056" s="9"/>
      <c r="Q4056" s="34"/>
      <c r="R4056" s="5"/>
      <c r="S4056" s="35"/>
    </row>
    <row r="4057" spans="1:21" ht="30" customHeight="1" x14ac:dyDescent="0.35">
      <c r="A4057" s="186" t="s">
        <v>1119</v>
      </c>
      <c r="B4057" s="373" t="s">
        <v>1761</v>
      </c>
      <c r="C4057" s="374"/>
      <c r="D4057" s="375"/>
      <c r="E4057" s="7">
        <f>+E4056*1.25</f>
        <v>22875</v>
      </c>
      <c r="F4057" s="422" t="s">
        <v>40</v>
      </c>
      <c r="G4057" s="17">
        <v>10000</v>
      </c>
      <c r="H4057" s="708" t="s">
        <v>1118</v>
      </c>
      <c r="I4057" s="186">
        <v>1.01</v>
      </c>
      <c r="J4057" s="422"/>
      <c r="K4057" s="193">
        <f>+E4057/G4057*I4057</f>
        <v>2.3103750000000001</v>
      </c>
      <c r="L4057" s="422" t="s">
        <v>113</v>
      </c>
      <c r="M4057" s="50"/>
      <c r="P4057" s="9"/>
      <c r="Q4057" s="34"/>
      <c r="R4057" s="5"/>
      <c r="S4057" s="35"/>
    </row>
    <row r="4058" spans="1:21" ht="30" customHeight="1" x14ac:dyDescent="0.35">
      <c r="A4058" s="186" t="s">
        <v>1119</v>
      </c>
      <c r="B4058" s="1202" t="s">
        <v>1762</v>
      </c>
      <c r="C4058" s="1203"/>
      <c r="D4058" s="1204"/>
      <c r="E4058" s="7">
        <f>+(5850+13400)/2</f>
        <v>9625</v>
      </c>
      <c r="F4058" s="422" t="s">
        <v>40</v>
      </c>
      <c r="G4058" s="17">
        <v>10000</v>
      </c>
      <c r="H4058" s="708" t="s">
        <v>1118</v>
      </c>
      <c r="I4058" s="186">
        <v>1.01</v>
      </c>
      <c r="J4058" s="422"/>
      <c r="K4058" s="193">
        <f>+E4058/G4058*I4058</f>
        <v>0.97212500000000002</v>
      </c>
      <c r="L4058" s="422" t="s">
        <v>113</v>
      </c>
      <c r="M4058" s="50"/>
      <c r="P4058" s="9"/>
      <c r="Q4058" s="34"/>
      <c r="R4058" s="5"/>
      <c r="S4058" s="35"/>
      <c r="U4058" s="10"/>
    </row>
    <row r="4059" spans="1:21" ht="30" customHeight="1" x14ac:dyDescent="0.35">
      <c r="A4059" s="790"/>
      <c r="B4059" s="1211"/>
      <c r="C4059" s="1211"/>
      <c r="D4059" s="1211"/>
      <c r="E4059" s="194"/>
      <c r="F4059" s="186"/>
      <c r="G4059" s="186"/>
      <c r="H4059" s="186"/>
      <c r="I4059" s="186"/>
      <c r="J4059" s="186" t="s">
        <v>223</v>
      </c>
      <c r="K4059" s="194">
        <f>SUM(K4056:K4058)</f>
        <v>5.1308000000000007</v>
      </c>
      <c r="L4059" s="186" t="s">
        <v>113</v>
      </c>
      <c r="M4059" s="50"/>
    </row>
    <row r="4060" spans="1:21" ht="30" customHeight="1" x14ac:dyDescent="0.35">
      <c r="A4060" s="186"/>
      <c r="B4060" s="567"/>
      <c r="C4060" s="567"/>
      <c r="D4060" s="567"/>
      <c r="E4060" s="194"/>
      <c r="F4060" s="1215" t="s">
        <v>195</v>
      </c>
      <c r="G4060" s="1273" t="s">
        <v>196</v>
      </c>
      <c r="H4060" s="1273"/>
      <c r="I4060" s="1273"/>
      <c r="J4060" s="1273"/>
      <c r="K4060" s="196">
        <v>1.07</v>
      </c>
      <c r="L4060" s="186"/>
      <c r="M4060" s="50"/>
      <c r="P4060" s="9"/>
      <c r="Q4060" s="34"/>
      <c r="R4060" s="5"/>
      <c r="S4060" s="35"/>
      <c r="U4060" s="10"/>
    </row>
    <row r="4061" spans="1:21" ht="30" customHeight="1" x14ac:dyDescent="0.35">
      <c r="A4061" s="186"/>
      <c r="B4061" s="567"/>
      <c r="C4061" s="567"/>
      <c r="D4061" s="567"/>
      <c r="E4061" s="194"/>
      <c r="F4061" s="1216"/>
      <c r="G4061" s="1268" t="s">
        <v>276</v>
      </c>
      <c r="H4061" s="1268"/>
      <c r="I4061" s="1268"/>
      <c r="J4061" s="1268"/>
      <c r="K4061" s="196">
        <v>1.08</v>
      </c>
      <c r="L4061" s="186"/>
      <c r="M4061" s="50"/>
    </row>
    <row r="4062" spans="1:21" ht="30" customHeight="1" x14ac:dyDescent="0.35">
      <c r="A4062" s="186"/>
      <c r="B4062" s="186"/>
      <c r="C4062" s="503"/>
      <c r="D4062" s="503"/>
      <c r="E4062" s="503"/>
      <c r="F4062" s="503"/>
      <c r="G4062" s="503"/>
      <c r="H4062" s="503"/>
      <c r="I4062" s="503"/>
      <c r="J4062" s="186" t="s">
        <v>37</v>
      </c>
      <c r="K4062" s="193">
        <f>+K4059*K4060/K4061</f>
        <v>5.0832925925925929</v>
      </c>
      <c r="L4062" s="186" t="s">
        <v>113</v>
      </c>
      <c r="M4062" s="50"/>
      <c r="P4062" s="9"/>
      <c r="Q4062" s="34"/>
      <c r="R4062" s="5"/>
      <c r="S4062" s="35"/>
    </row>
    <row r="4063" spans="1:21" ht="30" customHeight="1" x14ac:dyDescent="0.35">
      <c r="A4063" s="186"/>
      <c r="B4063" s="186"/>
      <c r="C4063" s="503"/>
      <c r="D4063" s="503"/>
      <c r="E4063" s="503"/>
      <c r="F4063" s="503"/>
      <c r="G4063" s="1374" t="s">
        <v>257</v>
      </c>
      <c r="H4063" s="1375"/>
      <c r="I4063" s="1376"/>
      <c r="J4063" s="560">
        <f>VLOOKUP(B4054,'Mil Cost Premiums for PUCs'!$A$4:$R$285,18,FALSE)</f>
        <v>1.0905505199999999</v>
      </c>
      <c r="K4063" s="193">
        <f>+K4062*J4063</f>
        <v>5.5435873801639994</v>
      </c>
      <c r="L4063" s="186" t="s">
        <v>113</v>
      </c>
      <c r="M4063" s="50"/>
      <c r="O4063" s="5"/>
      <c r="P4063" s="9"/>
      <c r="Q4063" s="34"/>
      <c r="R4063" s="5"/>
      <c r="S4063" s="35"/>
    </row>
    <row r="4064" spans="1:21" ht="30" customHeight="1" x14ac:dyDescent="0.35">
      <c r="A4064" s="904"/>
      <c r="B4064" s="904"/>
      <c r="C4064" s="905"/>
      <c r="D4064" s="905"/>
      <c r="E4064" s="905"/>
      <c r="F4064" s="1415" t="s">
        <v>277</v>
      </c>
      <c r="G4064" s="1415"/>
      <c r="H4064" s="1415"/>
      <c r="I4064" s="1415"/>
      <c r="J4064" s="1086">
        <v>1.0833999999999999</v>
      </c>
      <c r="K4064" s="1087">
        <f>K4063*J4064</f>
        <v>6.0059225676696766</v>
      </c>
      <c r="L4064" s="186" t="s">
        <v>113</v>
      </c>
      <c r="M4064" s="50"/>
    </row>
    <row r="4065" spans="1:21" ht="30" customHeight="1" x14ac:dyDescent="0.35">
      <c r="A4065" s="569"/>
      <c r="B4065" s="569"/>
      <c r="C4065" s="510"/>
      <c r="D4065" s="510"/>
      <c r="E4065" s="510"/>
      <c r="F4065" s="510"/>
      <c r="G4065" s="1737" t="s">
        <v>2817</v>
      </c>
      <c r="H4065" s="1738"/>
      <c r="I4065" s="1739"/>
      <c r="J4065" s="570">
        <v>1.1214</v>
      </c>
      <c r="K4065" s="285">
        <f>+K4064*J4065</f>
        <v>6.7350415673847754</v>
      </c>
      <c r="L4065" s="186" t="s">
        <v>113</v>
      </c>
      <c r="M4065" s="50"/>
      <c r="N4065" s="50"/>
      <c r="O4065" s="5"/>
      <c r="P4065" s="9"/>
      <c r="Q4065" s="34"/>
      <c r="R4065" s="5"/>
      <c r="S4065" s="35"/>
    </row>
    <row r="4066" spans="1:21" ht="30" customHeight="1" thickBot="1" x14ac:dyDescent="0.4">
      <c r="A4066" s="569"/>
      <c r="B4066" s="569"/>
      <c r="C4066" s="510"/>
      <c r="D4066" s="510"/>
      <c r="E4066" s="510"/>
      <c r="F4066" s="510"/>
      <c r="G4066" s="1191" t="s">
        <v>3000</v>
      </c>
      <c r="H4066" s="1192"/>
      <c r="I4066" s="1193"/>
      <c r="J4066" s="570">
        <v>1.0438745311870361</v>
      </c>
      <c r="K4066" s="285">
        <f>+K4065*J4066</f>
        <v>7.0305383586789834</v>
      </c>
      <c r="L4066" s="186" t="s">
        <v>113</v>
      </c>
      <c r="M4066" s="50"/>
      <c r="O4066" s="5"/>
      <c r="P4066" s="9"/>
      <c r="Q4066" s="34"/>
      <c r="R4066" s="5"/>
      <c r="S4066" s="35"/>
    </row>
    <row r="4067" spans="1:21" ht="30" customHeight="1" thickBot="1" x14ac:dyDescent="0.4">
      <c r="A4067" s="1199"/>
      <c r="B4067" s="1200"/>
      <c r="C4067" s="1200"/>
      <c r="D4067" s="1200"/>
      <c r="E4067" s="1200"/>
      <c r="F4067" s="1200"/>
      <c r="G4067" s="1200"/>
      <c r="H4067" s="1200"/>
      <c r="I4067" s="1200"/>
      <c r="J4067" s="1200"/>
      <c r="K4067" s="1200"/>
      <c r="L4067" s="1201"/>
      <c r="N4067" s="50"/>
      <c r="O4067" s="5"/>
      <c r="P4067" s="9"/>
      <c r="Q4067" s="34"/>
      <c r="R4067" s="5"/>
      <c r="S4067" s="35"/>
    </row>
    <row r="4068" spans="1:21" ht="30" customHeight="1" x14ac:dyDescent="0.35">
      <c r="A4068" s="388" t="s">
        <v>1</v>
      </c>
      <c r="B4068" s="389">
        <v>8315</v>
      </c>
      <c r="C4068" s="1205" t="s">
        <v>1763</v>
      </c>
      <c r="D4068" s="1206"/>
      <c r="E4068" s="392" t="s">
        <v>3</v>
      </c>
      <c r="F4068" s="393" t="s">
        <v>113</v>
      </c>
      <c r="G4068" s="390" t="s">
        <v>38</v>
      </c>
      <c r="H4068" s="132">
        <v>385669.9</v>
      </c>
      <c r="I4068" s="392" t="s">
        <v>5</v>
      </c>
      <c r="J4068" s="1207" t="s">
        <v>2481</v>
      </c>
      <c r="K4068" s="1207"/>
      <c r="L4068" s="1208"/>
      <c r="M4068" s="50"/>
      <c r="N4068" s="50"/>
      <c r="O4068" s="5"/>
      <c r="P4068" s="9"/>
      <c r="Q4068" s="34"/>
      <c r="R4068" s="5"/>
      <c r="S4068" s="35"/>
    </row>
    <row r="4069" spans="1:21" ht="30" customHeight="1" x14ac:dyDescent="0.35">
      <c r="A4069" s="494" t="s">
        <v>187</v>
      </c>
      <c r="B4069" s="1280" t="s">
        <v>211</v>
      </c>
      <c r="C4069" s="1281"/>
      <c r="D4069" s="1282"/>
      <c r="E4069" s="566" t="s">
        <v>52</v>
      </c>
      <c r="F4069" s="566" t="s">
        <v>53</v>
      </c>
      <c r="G4069" s="1219" t="s">
        <v>54</v>
      </c>
      <c r="H4069" s="1220"/>
      <c r="I4069" s="185" t="s">
        <v>188</v>
      </c>
      <c r="J4069" s="185"/>
      <c r="K4069" s="399" t="s">
        <v>180</v>
      </c>
      <c r="L4069" s="400"/>
      <c r="M4069" s="50"/>
      <c r="O4069" s="5"/>
      <c r="P4069" s="9"/>
      <c r="Q4069" s="34"/>
      <c r="R4069" s="5"/>
      <c r="S4069" s="35"/>
    </row>
    <row r="4070" spans="1:21" ht="30" customHeight="1" x14ac:dyDescent="0.35">
      <c r="A4070" s="186" t="s">
        <v>1764</v>
      </c>
      <c r="B4070" s="373" t="s">
        <v>1765</v>
      </c>
      <c r="C4070" s="374"/>
      <c r="D4070" s="375"/>
      <c r="E4070" s="7">
        <f>+(1.91+2.6)/2</f>
        <v>2.2549999999999999</v>
      </c>
      <c r="F4070" s="422" t="s">
        <v>349</v>
      </c>
      <c r="G4070" s="18">
        <v>7.48</v>
      </c>
      <c r="H4070" s="708" t="s">
        <v>1766</v>
      </c>
      <c r="I4070" s="204">
        <v>1.29</v>
      </c>
      <c r="J4070" s="422"/>
      <c r="K4070" s="193">
        <f>+E4070/G4070*I4070</f>
        <v>0.38889705882352943</v>
      </c>
      <c r="L4070" s="422" t="s">
        <v>113</v>
      </c>
      <c r="M4070" s="50"/>
      <c r="O4070" s="5"/>
      <c r="P4070" s="9"/>
      <c r="Q4070" s="34"/>
      <c r="R4070" s="5"/>
      <c r="S4070" s="35"/>
    </row>
    <row r="4071" spans="1:21" ht="30" customHeight="1" x14ac:dyDescent="0.35">
      <c r="A4071" s="186" t="s">
        <v>1764</v>
      </c>
      <c r="B4071" s="1202" t="s">
        <v>2679</v>
      </c>
      <c r="C4071" s="1203"/>
      <c r="D4071" s="1204"/>
      <c r="E4071" s="7">
        <f>+(11500+31500)/2</f>
        <v>21500</v>
      </c>
      <c r="F4071" s="422" t="s">
        <v>40</v>
      </c>
      <c r="G4071" s="17">
        <f>+H4068</f>
        <v>385669.9</v>
      </c>
      <c r="H4071" s="708" t="s">
        <v>1118</v>
      </c>
      <c r="I4071" s="204">
        <v>1.29</v>
      </c>
      <c r="J4071" s="422"/>
      <c r="K4071" s="193">
        <f>+E4071/G4071*I4071</f>
        <v>7.1913830973067902E-2</v>
      </c>
      <c r="L4071" s="422" t="s">
        <v>113</v>
      </c>
      <c r="M4071" s="96"/>
      <c r="O4071" s="5"/>
      <c r="U4071" s="10"/>
    </row>
    <row r="4072" spans="1:21" ht="30" customHeight="1" x14ac:dyDescent="0.35">
      <c r="A4072" s="790"/>
      <c r="B4072" s="1211"/>
      <c r="C4072" s="1211"/>
      <c r="D4072" s="1211"/>
      <c r="E4072" s="194"/>
      <c r="F4072" s="186"/>
      <c r="G4072" s="186"/>
      <c r="H4072" s="186"/>
      <c r="I4072" s="186"/>
      <c r="J4072" s="186" t="s">
        <v>223</v>
      </c>
      <c r="K4072" s="194">
        <f>SUM(K4070:K4071)</f>
        <v>0.46081088979659734</v>
      </c>
      <c r="L4072" s="186" t="s">
        <v>113</v>
      </c>
      <c r="M4072" s="50"/>
      <c r="N4072" s="10"/>
      <c r="O4072" s="5"/>
      <c r="U4072" s="10"/>
    </row>
    <row r="4073" spans="1:21" ht="30" customHeight="1" x14ac:dyDescent="0.35">
      <c r="A4073" s="186"/>
      <c r="B4073" s="567"/>
      <c r="C4073" s="567"/>
      <c r="D4073" s="567"/>
      <c r="E4073" s="194"/>
      <c r="F4073" s="1215" t="s">
        <v>195</v>
      </c>
      <c r="G4073" s="1273" t="s">
        <v>196</v>
      </c>
      <c r="H4073" s="1273"/>
      <c r="I4073" s="1273"/>
      <c r="J4073" s="1273"/>
      <c r="K4073" s="196">
        <v>1.06</v>
      </c>
      <c r="L4073" s="186"/>
      <c r="M4073" s="50"/>
      <c r="N4073" s="10"/>
      <c r="O4073" s="5"/>
      <c r="U4073" s="10"/>
    </row>
    <row r="4074" spans="1:21" ht="30" customHeight="1" x14ac:dyDescent="0.35">
      <c r="A4074" s="186"/>
      <c r="B4074" s="567"/>
      <c r="C4074" s="567"/>
      <c r="D4074" s="567"/>
      <c r="E4074" s="194"/>
      <c r="F4074" s="1216"/>
      <c r="G4074" s="1268" t="s">
        <v>2477</v>
      </c>
      <c r="H4074" s="1268"/>
      <c r="I4074" s="1268"/>
      <c r="J4074" s="1268"/>
      <c r="K4074" s="196">
        <v>1.05</v>
      </c>
      <c r="L4074" s="186"/>
      <c r="M4074" s="50"/>
      <c r="O4074" s="5"/>
      <c r="U4074" s="10"/>
    </row>
    <row r="4075" spans="1:21" ht="30" customHeight="1" x14ac:dyDescent="0.35">
      <c r="A4075" s="186"/>
      <c r="B4075" s="186"/>
      <c r="C4075" s="503"/>
      <c r="D4075" s="503"/>
      <c r="E4075" s="503"/>
      <c r="F4075" s="503"/>
      <c r="G4075" s="503"/>
      <c r="H4075" s="503"/>
      <c r="I4075" s="503"/>
      <c r="J4075" s="186" t="s">
        <v>37</v>
      </c>
      <c r="K4075" s="193">
        <f>+K4072*K4073/K4074</f>
        <v>0.46519956493751735</v>
      </c>
      <c r="L4075" s="186" t="s">
        <v>113</v>
      </c>
      <c r="M4075" s="50"/>
      <c r="O4075" s="5"/>
      <c r="U4075" s="10"/>
    </row>
    <row r="4076" spans="1:21" ht="30" customHeight="1" x14ac:dyDescent="0.35">
      <c r="A4076" s="186"/>
      <c r="B4076" s="186"/>
      <c r="C4076" s="503"/>
      <c r="D4076" s="503"/>
      <c r="E4076" s="503"/>
      <c r="F4076" s="503"/>
      <c r="G4076" s="1475" t="s">
        <v>257</v>
      </c>
      <c r="H4076" s="1476"/>
      <c r="I4076" s="1477"/>
      <c r="J4076" s="560">
        <f>VLOOKUP(B4068,'Mil Cost Premiums for PUCs'!$A$4:$R$285,18,FALSE)</f>
        <v>1.0905505199999999</v>
      </c>
      <c r="K4076" s="193">
        <f>+K4075*J4076</f>
        <v>0.50732362744638326</v>
      </c>
      <c r="L4076" s="186" t="s">
        <v>113</v>
      </c>
      <c r="M4076" s="50"/>
      <c r="O4076" s="5"/>
      <c r="U4076" s="10"/>
    </row>
    <row r="4077" spans="1:21" ht="30" customHeight="1" thickBot="1" x14ac:dyDescent="0.4">
      <c r="A4077" s="186"/>
      <c r="B4077" s="186"/>
      <c r="C4077" s="503"/>
      <c r="D4077" s="503"/>
      <c r="E4077" s="503"/>
      <c r="F4077" s="503"/>
      <c r="G4077" s="1475" t="s">
        <v>3000</v>
      </c>
      <c r="H4077" s="1476"/>
      <c r="I4077" s="1477"/>
      <c r="J4077" s="560">
        <v>1.0438745311870361</v>
      </c>
      <c r="K4077" s="193">
        <f>+K4076*J4077</f>
        <v>0.52958221376069992</v>
      </c>
      <c r="L4077" s="186" t="s">
        <v>113</v>
      </c>
      <c r="M4077" s="50"/>
      <c r="O4077" s="5"/>
      <c r="P4077" s="9"/>
      <c r="Q4077" s="34"/>
      <c r="R4077" s="5"/>
      <c r="S4077" s="35"/>
    </row>
    <row r="4078" spans="1:21" ht="30" customHeight="1" thickBot="1" x14ac:dyDescent="0.4">
      <c r="A4078" s="1199"/>
      <c r="B4078" s="1200"/>
      <c r="C4078" s="1200"/>
      <c r="D4078" s="1200"/>
      <c r="E4078" s="1200"/>
      <c r="F4078" s="1200"/>
      <c r="G4078" s="1200"/>
      <c r="H4078" s="1200"/>
      <c r="I4078" s="1200"/>
      <c r="J4078" s="1200"/>
      <c r="K4078" s="1200"/>
      <c r="L4078" s="1201"/>
      <c r="N4078" s="10"/>
      <c r="O4078" s="5"/>
      <c r="P4078" s="9"/>
      <c r="Q4078" s="34"/>
      <c r="R4078" s="5"/>
      <c r="S4078" s="35"/>
    </row>
    <row r="4079" spans="1:21" ht="30" customHeight="1" x14ac:dyDescent="0.35">
      <c r="A4079" s="388" t="s">
        <v>1</v>
      </c>
      <c r="B4079" s="389">
        <v>8316</v>
      </c>
      <c r="C4079" s="1290" t="s">
        <v>1767</v>
      </c>
      <c r="D4079" s="1291"/>
      <c r="E4079" s="392" t="s">
        <v>3</v>
      </c>
      <c r="F4079" s="393" t="s">
        <v>1751</v>
      </c>
      <c r="G4079" s="529" t="s">
        <v>2</v>
      </c>
      <c r="H4079" s="135">
        <v>1</v>
      </c>
      <c r="I4079" s="392" t="s">
        <v>5</v>
      </c>
      <c r="J4079" s="1207" t="s">
        <v>2538</v>
      </c>
      <c r="K4079" s="1207"/>
      <c r="L4079" s="1208"/>
      <c r="M4079" s="96"/>
      <c r="N4079" s="10"/>
      <c r="O4079" s="5"/>
      <c r="P4079" s="9"/>
      <c r="Q4079" s="34"/>
      <c r="R4079" s="5"/>
      <c r="S4079" s="35"/>
    </row>
    <row r="4080" spans="1:21" ht="30" customHeight="1" x14ac:dyDescent="0.35">
      <c r="A4080" s="185" t="s">
        <v>177</v>
      </c>
      <c r="B4080" s="1272" t="s">
        <v>7</v>
      </c>
      <c r="C4080" s="1272"/>
      <c r="D4080" s="1272"/>
      <c r="E4080" s="397" t="s">
        <v>52</v>
      </c>
      <c r="F4080" s="566" t="s">
        <v>53</v>
      </c>
      <c r="G4080" s="1292" t="s">
        <v>54</v>
      </c>
      <c r="H4080" s="1293"/>
      <c r="I4080" s="1221" t="s">
        <v>179</v>
      </c>
      <c r="J4080" s="1222"/>
      <c r="K4080" s="399" t="s">
        <v>180</v>
      </c>
      <c r="L4080" s="400"/>
      <c r="M4080" s="96"/>
      <c r="O4080" s="5"/>
      <c r="P4080" s="9"/>
      <c r="Q4080" s="34"/>
      <c r="R4080" s="5"/>
      <c r="S4080" s="35"/>
    </row>
    <row r="4081" spans="1:19" ht="30" customHeight="1" x14ac:dyDescent="0.35">
      <c r="A4081" s="186">
        <v>83150</v>
      </c>
      <c r="B4081" s="1202" t="s">
        <v>1768</v>
      </c>
      <c r="C4081" s="1203"/>
      <c r="D4081" s="1204"/>
      <c r="E4081" s="267">
        <v>691714.76</v>
      </c>
      <c r="F4081" s="203" t="s">
        <v>40</v>
      </c>
      <c r="G4081" s="788">
        <v>200</v>
      </c>
      <c r="H4081" s="136" t="s">
        <v>2459</v>
      </c>
      <c r="I4081" s="1307">
        <f>+'FY2024 MILCON Inflation Table'!F22</f>
        <v>0.95834826759383673</v>
      </c>
      <c r="J4081" s="1308"/>
      <c r="K4081" s="199">
        <f>+E4081/G4081*I4081</f>
        <v>3314.518209575433</v>
      </c>
      <c r="L4081" s="401" t="s">
        <v>1751</v>
      </c>
      <c r="M4081" s="50"/>
      <c r="O4081" s="5"/>
      <c r="P4081" s="9"/>
      <c r="Q4081" s="34"/>
      <c r="R4081" s="5"/>
      <c r="S4081" s="35"/>
    </row>
    <row r="4082" spans="1:19" ht="30" customHeight="1" x14ac:dyDescent="0.35">
      <c r="A4082" s="186">
        <v>83150</v>
      </c>
      <c r="B4082" s="1202" t="s">
        <v>2458</v>
      </c>
      <c r="C4082" s="1203"/>
      <c r="D4082" s="1204"/>
      <c r="E4082" s="267">
        <v>498034.63</v>
      </c>
      <c r="F4082" s="203" t="s">
        <v>40</v>
      </c>
      <c r="G4082" s="788">
        <v>144</v>
      </c>
      <c r="H4082" s="136" t="s">
        <v>1804</v>
      </c>
      <c r="I4082" s="1307">
        <f>+I4081</f>
        <v>0.95834826759383673</v>
      </c>
      <c r="J4082" s="1308"/>
      <c r="K4082" s="199">
        <f>+E4082/G4082*I4082</f>
        <v>3314.5182282099822</v>
      </c>
      <c r="L4082" s="401" t="s">
        <v>1751</v>
      </c>
      <c r="M4082" s="50"/>
      <c r="O4082" s="5"/>
      <c r="P4082" s="9"/>
      <c r="Q4082" s="34"/>
      <c r="R4082" s="5"/>
      <c r="S4082" s="35"/>
    </row>
    <row r="4083" spans="1:19" ht="30" customHeight="1" x14ac:dyDescent="0.35">
      <c r="A4083" s="186">
        <v>83150</v>
      </c>
      <c r="B4083" s="1202" t="s">
        <v>2599</v>
      </c>
      <c r="C4083" s="1203"/>
      <c r="D4083" s="1204"/>
      <c r="E4083" s="267">
        <v>996069.25</v>
      </c>
      <c r="F4083" s="203" t="s">
        <v>40</v>
      </c>
      <c r="G4083" s="788">
        <v>288</v>
      </c>
      <c r="H4083" s="136" t="s">
        <v>2459</v>
      </c>
      <c r="I4083" s="1307">
        <f>+I4081</f>
        <v>0.95834826759383673</v>
      </c>
      <c r="J4083" s="1308"/>
      <c r="K4083" s="199">
        <f>+E4083/G4083*I4083</f>
        <v>3314.5181949340008</v>
      </c>
      <c r="L4083" s="401" t="s">
        <v>1751</v>
      </c>
      <c r="M4083" s="50"/>
      <c r="O4083" s="5"/>
      <c r="P4083" s="9"/>
      <c r="Q4083" s="34"/>
      <c r="R4083" s="5"/>
      <c r="S4083" s="35"/>
    </row>
    <row r="4084" spans="1:19" ht="30" customHeight="1" x14ac:dyDescent="0.35">
      <c r="A4084" s="186"/>
      <c r="B4084" s="373"/>
      <c r="C4084" s="374"/>
      <c r="D4084" s="375"/>
      <c r="E4084" s="129"/>
      <c r="F4084" s="143"/>
      <c r="G4084" s="716"/>
      <c r="H4084" s="136"/>
      <c r="I4084" s="751"/>
      <c r="J4084" s="736" t="s">
        <v>192</v>
      </c>
      <c r="K4084" s="199">
        <f>AVERAGE(K4081:K4083)</f>
        <v>3314.5182109064717</v>
      </c>
      <c r="L4084" s="401" t="s">
        <v>1751</v>
      </c>
      <c r="M4084" s="50"/>
      <c r="O4084" s="5"/>
      <c r="P4084" s="9"/>
      <c r="Q4084" s="34"/>
      <c r="R4084" s="5"/>
      <c r="S4084" s="35"/>
    </row>
    <row r="4085" spans="1:19" ht="30" customHeight="1" thickBot="1" x14ac:dyDescent="0.4">
      <c r="A4085" s="186"/>
      <c r="B4085" s="1202" t="s">
        <v>2600</v>
      </c>
      <c r="C4085" s="1203"/>
      <c r="D4085" s="1204"/>
      <c r="E4085" s="520"/>
      <c r="F4085" s="784"/>
      <c r="G4085" s="520"/>
      <c r="H4085" s="750"/>
      <c r="I4085" s="503"/>
      <c r="J4085" s="494" t="s">
        <v>37</v>
      </c>
      <c r="K4085" s="199">
        <f>+K4084</f>
        <v>3314.5182109064717</v>
      </c>
      <c r="L4085" s="401" t="s">
        <v>1751</v>
      </c>
      <c r="M4085" s="50"/>
      <c r="O4085" s="5"/>
      <c r="P4085" s="9"/>
      <c r="Q4085" s="34"/>
      <c r="R4085" s="5"/>
      <c r="S4085" s="35"/>
    </row>
    <row r="4086" spans="1:19" ht="30" customHeight="1" thickBot="1" x14ac:dyDescent="0.4">
      <c r="A4086" s="1199"/>
      <c r="B4086" s="1200"/>
      <c r="C4086" s="1200"/>
      <c r="D4086" s="1200"/>
      <c r="E4086" s="1200"/>
      <c r="F4086" s="1200"/>
      <c r="G4086" s="1200"/>
      <c r="H4086" s="1200"/>
      <c r="I4086" s="1200"/>
      <c r="J4086" s="1200"/>
      <c r="K4086" s="1200"/>
      <c r="L4086" s="1201"/>
      <c r="M4086" s="50"/>
      <c r="N4086" s="50"/>
      <c r="O4086" s="5"/>
      <c r="P4086" s="9"/>
      <c r="Q4086" s="34"/>
      <c r="R4086" s="5"/>
      <c r="S4086" s="35"/>
    </row>
    <row r="4087" spans="1:19" ht="30" customHeight="1" x14ac:dyDescent="0.35">
      <c r="A4087" s="388" t="s">
        <v>1</v>
      </c>
      <c r="B4087" s="389">
        <v>8321</v>
      </c>
      <c r="C4087" s="1345" t="s">
        <v>1769</v>
      </c>
      <c r="D4087" s="1346"/>
      <c r="E4087" s="392" t="s">
        <v>3</v>
      </c>
      <c r="F4087" s="393" t="s">
        <v>28</v>
      </c>
      <c r="G4087" s="520" t="s">
        <v>2</v>
      </c>
      <c r="H4087" s="132">
        <v>1000</v>
      </c>
      <c r="I4087" s="392" t="s">
        <v>5</v>
      </c>
      <c r="J4087" s="1207" t="s">
        <v>2538</v>
      </c>
      <c r="K4087" s="1207"/>
      <c r="L4087" s="1208"/>
      <c r="M4087" s="96"/>
      <c r="N4087" s="509"/>
      <c r="O4087" s="5"/>
      <c r="P4087" s="9"/>
      <c r="Q4087" s="34"/>
      <c r="R4087" s="5"/>
      <c r="S4087" s="35"/>
    </row>
    <row r="4088" spans="1:19" ht="30" customHeight="1" x14ac:dyDescent="0.35">
      <c r="A4088" s="185" t="s">
        <v>177</v>
      </c>
      <c r="B4088" s="1272" t="s">
        <v>7</v>
      </c>
      <c r="C4088" s="1272"/>
      <c r="D4088" s="1272"/>
      <c r="E4088" s="397" t="s">
        <v>52</v>
      </c>
      <c r="F4088" s="566" t="s">
        <v>53</v>
      </c>
      <c r="G4088" s="1292" t="s">
        <v>54</v>
      </c>
      <c r="H4088" s="1293"/>
      <c r="I4088" s="1221" t="s">
        <v>179</v>
      </c>
      <c r="J4088" s="1222"/>
      <c r="K4088" s="399" t="s">
        <v>180</v>
      </c>
      <c r="L4088" s="400"/>
      <c r="M4088" s="96"/>
      <c r="O4088" s="5"/>
      <c r="P4088" s="9"/>
      <c r="Q4088" s="34"/>
      <c r="R4088" s="5"/>
      <c r="S4088" s="35"/>
    </row>
    <row r="4089" spans="1:19" ht="30" customHeight="1" x14ac:dyDescent="0.35">
      <c r="A4089" s="186">
        <v>87110</v>
      </c>
      <c r="B4089" s="1212" t="s">
        <v>2681</v>
      </c>
      <c r="C4089" s="1213"/>
      <c r="D4089" s="1214"/>
      <c r="E4089" s="267">
        <v>115.91</v>
      </c>
      <c r="F4089" s="203" t="s">
        <v>28</v>
      </c>
      <c r="G4089" s="788"/>
      <c r="H4089" s="136"/>
      <c r="I4089" s="1307">
        <f>+'FY2024 MILCON Inflation Table'!F22</f>
        <v>0.95834826759383673</v>
      </c>
      <c r="J4089" s="1308"/>
      <c r="K4089" s="199">
        <f>+E4089*I4089</f>
        <v>111.08214769680161</v>
      </c>
      <c r="L4089" s="401" t="s">
        <v>28</v>
      </c>
      <c r="M4089" s="50"/>
      <c r="O4089" s="5"/>
      <c r="P4089" s="9"/>
      <c r="Q4089" s="34"/>
      <c r="R4089" s="5"/>
      <c r="S4089" s="35"/>
    </row>
    <row r="4090" spans="1:19" ht="30" customHeight="1" x14ac:dyDescent="0.35">
      <c r="A4090" s="186">
        <v>87110</v>
      </c>
      <c r="B4090" s="1212" t="s">
        <v>2682</v>
      </c>
      <c r="C4090" s="1213"/>
      <c r="D4090" s="1214"/>
      <c r="E4090" s="309">
        <v>188.16</v>
      </c>
      <c r="F4090" s="203" t="s">
        <v>28</v>
      </c>
      <c r="G4090" s="834"/>
      <c r="H4090" s="708"/>
      <c r="I4090" s="1307">
        <f>+I4089</f>
        <v>0.95834826759383673</v>
      </c>
      <c r="J4090" s="1308"/>
      <c r="K4090" s="199">
        <f>+E4090*I4090</f>
        <v>180.32281003045631</v>
      </c>
      <c r="L4090" s="401" t="s">
        <v>28</v>
      </c>
      <c r="M4090" s="50"/>
      <c r="O4090" s="5"/>
      <c r="P4090" s="9"/>
      <c r="Q4090" s="34"/>
      <c r="R4090" s="5"/>
      <c r="S4090" s="35"/>
    </row>
    <row r="4091" spans="1:19" ht="30" customHeight="1" x14ac:dyDescent="0.35">
      <c r="A4091" s="494"/>
      <c r="B4091" s="1280"/>
      <c r="C4091" s="1281"/>
      <c r="D4091" s="1282"/>
      <c r="E4091" s="566"/>
      <c r="F4091" s="566"/>
      <c r="G4091" s="1219"/>
      <c r="H4091" s="1220"/>
      <c r="I4091" s="185"/>
      <c r="J4091" s="188" t="s">
        <v>192</v>
      </c>
      <c r="K4091" s="199">
        <f>AVERAGE(K4089:K4090)</f>
        <v>145.70247886362895</v>
      </c>
      <c r="L4091" s="401" t="s">
        <v>28</v>
      </c>
      <c r="M4091" s="50"/>
      <c r="O4091" s="5"/>
      <c r="P4091" s="9"/>
      <c r="Q4091" s="34"/>
      <c r="R4091" s="5"/>
      <c r="S4091" s="35"/>
    </row>
    <row r="4092" spans="1:19" ht="30" customHeight="1" x14ac:dyDescent="0.35">
      <c r="A4092" s="186">
        <v>83210</v>
      </c>
      <c r="B4092" s="1212" t="s">
        <v>2683</v>
      </c>
      <c r="C4092" s="1213"/>
      <c r="D4092" s="1214"/>
      <c r="E4092" s="309">
        <v>16278.11</v>
      </c>
      <c r="F4092" s="422" t="s">
        <v>40</v>
      </c>
      <c r="G4092" s="19">
        <v>500</v>
      </c>
      <c r="H4092" s="708" t="s">
        <v>1749</v>
      </c>
      <c r="I4092" s="1307">
        <f>+I4089</f>
        <v>0.95834826759383673</v>
      </c>
      <c r="J4092" s="1308"/>
      <c r="K4092" s="193">
        <f>+E4092/G4092*I4092</f>
        <v>31.200197036403821</v>
      </c>
      <c r="L4092" s="401" t="s">
        <v>28</v>
      </c>
      <c r="M4092" s="50"/>
      <c r="N4092" s="96"/>
      <c r="O4092" s="5"/>
      <c r="P4092" s="9"/>
      <c r="Q4092" s="34"/>
      <c r="R4092" s="5"/>
      <c r="S4092" s="35"/>
    </row>
    <row r="4093" spans="1:19" ht="30" customHeight="1" x14ac:dyDescent="0.35">
      <c r="A4093" s="186"/>
      <c r="B4093" s="1202"/>
      <c r="C4093" s="1203"/>
      <c r="D4093" s="1204"/>
      <c r="E4093" s="7"/>
      <c r="F4093" s="422"/>
      <c r="G4093" s="19"/>
      <c r="H4093" s="708"/>
      <c r="I4093" s="186"/>
      <c r="J4093" s="422" t="s">
        <v>223</v>
      </c>
      <c r="K4093" s="193">
        <f>+K4091+K4092</f>
        <v>176.90267590003276</v>
      </c>
      <c r="L4093" s="401" t="s">
        <v>28</v>
      </c>
      <c r="M4093" s="50"/>
      <c r="N4093" s="50"/>
      <c r="O4093" s="5"/>
      <c r="P4093" s="9"/>
      <c r="Q4093" s="34"/>
      <c r="R4093" s="5"/>
      <c r="S4093" s="35"/>
    </row>
    <row r="4094" spans="1:19" ht="30" customHeight="1" thickBot="1" x14ac:dyDescent="0.4">
      <c r="A4094" s="186"/>
      <c r="B4094" s="373"/>
      <c r="C4094" s="374"/>
      <c r="D4094" s="375"/>
      <c r="E4094" s="7"/>
      <c r="F4094" s="422"/>
      <c r="G4094" s="1464"/>
      <c r="H4094" s="1465"/>
      <c r="I4094" s="186"/>
      <c r="J4094" s="494" t="s">
        <v>37</v>
      </c>
      <c r="K4094" s="199">
        <f>+K4093</f>
        <v>176.90267590003276</v>
      </c>
      <c r="L4094" s="401" t="s">
        <v>28</v>
      </c>
      <c r="M4094" s="50"/>
      <c r="N4094" s="50"/>
      <c r="O4094" s="5"/>
      <c r="P4094" s="9"/>
      <c r="Q4094" s="34"/>
      <c r="R4094" s="5"/>
      <c r="S4094" s="35"/>
    </row>
    <row r="4095" spans="1:19" ht="30" customHeight="1" thickBot="1" x14ac:dyDescent="0.4">
      <c r="A4095" s="1199"/>
      <c r="B4095" s="1200"/>
      <c r="C4095" s="1200"/>
      <c r="D4095" s="1200"/>
      <c r="E4095" s="1200"/>
      <c r="F4095" s="1200"/>
      <c r="G4095" s="1200"/>
      <c r="H4095" s="1200"/>
      <c r="I4095" s="1200"/>
      <c r="J4095" s="1200"/>
      <c r="K4095" s="1200"/>
      <c r="L4095" s="1201"/>
      <c r="M4095" s="50"/>
      <c r="N4095" s="50"/>
      <c r="O4095" s="5"/>
      <c r="P4095" s="9"/>
      <c r="Q4095" s="34"/>
      <c r="R4095" s="5"/>
      <c r="S4095" s="35"/>
    </row>
    <row r="4096" spans="1:19" ht="30" customHeight="1" x14ac:dyDescent="0.35">
      <c r="A4096" s="388" t="s">
        <v>1</v>
      </c>
      <c r="B4096" s="389">
        <v>8331</v>
      </c>
      <c r="C4096" s="1290" t="s">
        <v>2442</v>
      </c>
      <c r="D4096" s="1291"/>
      <c r="E4096" s="392" t="s">
        <v>3</v>
      </c>
      <c r="F4096" s="393" t="s">
        <v>108</v>
      </c>
      <c r="G4096" s="390" t="s">
        <v>38</v>
      </c>
      <c r="H4096" s="132">
        <v>1615.5997864506601</v>
      </c>
      <c r="I4096" s="392" t="s">
        <v>5</v>
      </c>
      <c r="J4096" s="1207" t="s">
        <v>995</v>
      </c>
      <c r="K4096" s="1207"/>
      <c r="L4096" s="1208"/>
      <c r="M4096" s="50"/>
      <c r="N4096" s="50"/>
      <c r="O4096" s="5"/>
      <c r="P4096" s="9"/>
      <c r="Q4096" s="34"/>
      <c r="R4096" s="5"/>
      <c r="S4096" s="35"/>
    </row>
    <row r="4097" spans="1:21" ht="30" customHeight="1" x14ac:dyDescent="0.35">
      <c r="A4097" s="494" t="s">
        <v>187</v>
      </c>
      <c r="B4097" s="1280" t="s">
        <v>211</v>
      </c>
      <c r="C4097" s="1281"/>
      <c r="D4097" s="1282"/>
      <c r="E4097" s="566" t="s">
        <v>52</v>
      </c>
      <c r="F4097" s="566" t="s">
        <v>53</v>
      </c>
      <c r="G4097" s="1219" t="s">
        <v>54</v>
      </c>
      <c r="H4097" s="1220"/>
      <c r="I4097" s="185" t="s">
        <v>188</v>
      </c>
      <c r="J4097" s="185" t="s">
        <v>179</v>
      </c>
      <c r="K4097" s="399" t="s">
        <v>180</v>
      </c>
      <c r="L4097" s="400"/>
      <c r="M4097" s="50"/>
      <c r="N4097" s="50"/>
      <c r="O4097" s="5"/>
      <c r="U4097" s="10"/>
    </row>
    <row r="4098" spans="1:21" ht="30" customHeight="1" x14ac:dyDescent="0.35">
      <c r="A4098" s="755" t="s">
        <v>1334</v>
      </c>
      <c r="B4098" s="1511" t="s">
        <v>1770</v>
      </c>
      <c r="C4098" s="1521"/>
      <c r="D4098" s="1237"/>
      <c r="E4098" s="167">
        <v>64.5</v>
      </c>
      <c r="F4098" s="422" t="s">
        <v>108</v>
      </c>
      <c r="G4098" s="19"/>
      <c r="H4098" s="708"/>
      <c r="I4098" s="186">
        <v>1.05</v>
      </c>
      <c r="J4098" s="1022">
        <f>+'FY2024 MILCON Inflation Table'!D19/+'FY2024 MILCON Inflation Table'!D14</f>
        <v>1.3545159367405897</v>
      </c>
      <c r="K4098" s="193">
        <f>E4098*I4098*J4098</f>
        <v>91.734591815756445</v>
      </c>
      <c r="L4098" s="422" t="s">
        <v>108</v>
      </c>
      <c r="M4098" s="50"/>
      <c r="N4098" s="50"/>
      <c r="O4098" s="14"/>
      <c r="U4098" s="10"/>
    </row>
    <row r="4099" spans="1:21" ht="30" customHeight="1" x14ac:dyDescent="0.35">
      <c r="A4099" s="897"/>
      <c r="B4099" s="1425"/>
      <c r="C4099" s="1425"/>
      <c r="D4099" s="1425"/>
      <c r="E4099" s="1132"/>
      <c r="F4099" s="1444" t="s">
        <v>195</v>
      </c>
      <c r="G4099" s="1273" t="s">
        <v>196</v>
      </c>
      <c r="H4099" s="1273"/>
      <c r="I4099" s="1273"/>
      <c r="J4099" s="1273"/>
      <c r="K4099" s="196">
        <v>1.06</v>
      </c>
      <c r="L4099" s="186"/>
      <c r="M4099" s="50"/>
      <c r="O4099" s="5"/>
      <c r="P4099" s="9"/>
      <c r="Q4099" s="34"/>
      <c r="R4099" s="5"/>
      <c r="S4099" s="35"/>
    </row>
    <row r="4100" spans="1:21" ht="30" customHeight="1" x14ac:dyDescent="0.35">
      <c r="A4100" s="897"/>
      <c r="B4100" s="909" t="s">
        <v>1771</v>
      </c>
      <c r="C4100" s="909"/>
      <c r="D4100" s="909"/>
      <c r="E4100" s="180"/>
      <c r="F4100" s="1445"/>
      <c r="G4100" s="1356" t="s">
        <v>3036</v>
      </c>
      <c r="H4100" s="1357"/>
      <c r="I4100" s="1357"/>
      <c r="J4100" s="1358"/>
      <c r="K4100" s="196">
        <v>1.02</v>
      </c>
      <c r="L4100" s="186"/>
      <c r="M4100" s="50"/>
      <c r="N4100" s="509"/>
      <c r="O4100" s="5"/>
      <c r="P4100" s="9"/>
      <c r="Q4100" s="34"/>
      <c r="R4100" s="5"/>
      <c r="S4100" s="35"/>
    </row>
    <row r="4101" spans="1:21" ht="30" customHeight="1" x14ac:dyDescent="0.35">
      <c r="A4101" s="1084"/>
      <c r="B4101" s="1425" t="s">
        <v>2810</v>
      </c>
      <c r="C4101" s="1425"/>
      <c r="D4101" s="1425"/>
      <c r="E4101" s="180"/>
      <c r="F4101" s="708"/>
      <c r="G4101" s="127"/>
      <c r="H4101" s="136"/>
      <c r="I4101" s="186"/>
      <c r="J4101" s="186" t="s">
        <v>37</v>
      </c>
      <c r="K4101" s="193">
        <f>+K4098*K4099/K4100</f>
        <v>95.332026788923372</v>
      </c>
      <c r="L4101" s="186" t="s">
        <v>108</v>
      </c>
      <c r="M4101" s="50"/>
      <c r="N4101" s="50"/>
      <c r="O4101" s="5"/>
      <c r="P4101" s="9"/>
      <c r="Q4101" s="34"/>
      <c r="R4101" s="5"/>
      <c r="S4101" s="35"/>
    </row>
    <row r="4102" spans="1:21" ht="30" customHeight="1" x14ac:dyDescent="0.35">
      <c r="A4102" s="904"/>
      <c r="B4102" s="1197" t="s">
        <v>1772</v>
      </c>
      <c r="C4102" s="1197"/>
      <c r="D4102" s="1197"/>
      <c r="E4102" s="905"/>
      <c r="F4102" s="912"/>
      <c r="G4102" s="1191" t="s">
        <v>257</v>
      </c>
      <c r="H4102" s="1192"/>
      <c r="I4102" s="1193"/>
      <c r="J4102" s="570">
        <f>VLOOKUP(B4096,'Mil Cost Premiums for PUCs'!$A$4:$R$285,18,FALSE)</f>
        <v>1.0485669999999998</v>
      </c>
      <c r="K4102" s="285">
        <f>+K4101*J4102</f>
        <v>99.962017333980995</v>
      </c>
      <c r="L4102" s="569" t="s">
        <v>108</v>
      </c>
      <c r="M4102" s="50"/>
      <c r="N4102" s="50"/>
      <c r="O4102" s="5"/>
      <c r="P4102" s="9"/>
      <c r="Q4102" s="34"/>
      <c r="R4102" s="5"/>
      <c r="S4102" s="35"/>
    </row>
    <row r="4103" spans="1:21" ht="30" customHeight="1" thickBot="1" x14ac:dyDescent="0.4">
      <c r="A4103" s="904"/>
      <c r="B4103" s="1197"/>
      <c r="C4103" s="1197"/>
      <c r="D4103" s="1197"/>
      <c r="E4103" s="905"/>
      <c r="F4103" s="912"/>
      <c r="G4103" s="1191" t="s">
        <v>3000</v>
      </c>
      <c r="H4103" s="1192"/>
      <c r="I4103" s="1193"/>
      <c r="J4103" s="570">
        <v>1.0438745311870361</v>
      </c>
      <c r="K4103" s="285">
        <f>+K4102*J4103</f>
        <v>104.34780398101979</v>
      </c>
      <c r="L4103" s="569" t="s">
        <v>108</v>
      </c>
      <c r="M4103" s="50"/>
      <c r="O4103" s="5"/>
      <c r="P4103" s="9"/>
      <c r="Q4103" s="34"/>
      <c r="R4103" s="5"/>
      <c r="S4103" s="35"/>
    </row>
    <row r="4104" spans="1:21" ht="30" customHeight="1" thickBot="1" x14ac:dyDescent="0.4">
      <c r="A4104" s="1199"/>
      <c r="B4104" s="1200"/>
      <c r="C4104" s="1200"/>
      <c r="D4104" s="1200"/>
      <c r="E4104" s="1200"/>
      <c r="F4104" s="1200"/>
      <c r="G4104" s="1200"/>
      <c r="H4104" s="1200"/>
      <c r="I4104" s="1200"/>
      <c r="J4104" s="1200"/>
      <c r="K4104" s="1200"/>
      <c r="L4104" s="1201"/>
      <c r="M4104" s="96"/>
      <c r="N4104" s="10"/>
      <c r="O4104" s="5"/>
      <c r="P4104" s="9"/>
      <c r="Q4104" s="34"/>
      <c r="R4104" s="5"/>
      <c r="S4104" s="35"/>
    </row>
    <row r="4105" spans="1:21" ht="30" customHeight="1" x14ac:dyDescent="0.35">
      <c r="A4105" s="388" t="s">
        <v>1</v>
      </c>
      <c r="B4105" s="389">
        <v>8332</v>
      </c>
      <c r="C4105" s="1205" t="s">
        <v>1773</v>
      </c>
      <c r="D4105" s="1206"/>
      <c r="E4105" s="392" t="s">
        <v>3</v>
      </c>
      <c r="F4105" s="393" t="s">
        <v>999</v>
      </c>
      <c r="G4105" s="390" t="s">
        <v>38</v>
      </c>
      <c r="H4105" s="154">
        <v>10.8</v>
      </c>
      <c r="I4105" s="392" t="s">
        <v>5</v>
      </c>
      <c r="J4105" s="1207" t="s">
        <v>390</v>
      </c>
      <c r="K4105" s="1207"/>
      <c r="L4105" s="1208"/>
      <c r="M4105" s="50"/>
      <c r="N4105" s="10"/>
      <c r="O4105" s="5"/>
      <c r="P4105" s="9"/>
      <c r="Q4105" s="34"/>
      <c r="R4105" s="5"/>
      <c r="S4105" s="35"/>
    </row>
    <row r="4106" spans="1:21" ht="30" customHeight="1" x14ac:dyDescent="0.35">
      <c r="A4106" s="494" t="s">
        <v>187</v>
      </c>
      <c r="B4106" s="1280" t="s">
        <v>211</v>
      </c>
      <c r="C4106" s="1281"/>
      <c r="D4106" s="1282"/>
      <c r="E4106" s="566" t="s">
        <v>52</v>
      </c>
      <c r="F4106" s="566" t="s">
        <v>53</v>
      </c>
      <c r="G4106" s="1219" t="s">
        <v>54</v>
      </c>
      <c r="H4106" s="1220"/>
      <c r="I4106" s="185" t="s">
        <v>188</v>
      </c>
      <c r="J4106" s="185"/>
      <c r="K4106" s="1209" t="s">
        <v>180</v>
      </c>
      <c r="L4106" s="1210"/>
      <c r="M4106" s="50"/>
      <c r="O4106" s="5"/>
      <c r="P4106" s="9"/>
      <c r="Q4106" s="34"/>
      <c r="R4106" s="5"/>
      <c r="S4106" s="35"/>
    </row>
    <row r="4107" spans="1:21" ht="30" customHeight="1" x14ac:dyDescent="0.35">
      <c r="A4107" s="186" t="s">
        <v>1774</v>
      </c>
      <c r="B4107" s="1202" t="s">
        <v>1775</v>
      </c>
      <c r="C4107" s="1203"/>
      <c r="D4107" s="1204"/>
      <c r="E4107" s="1133">
        <v>250000</v>
      </c>
      <c r="F4107" s="422" t="s">
        <v>999</v>
      </c>
      <c r="G4107" s="707"/>
      <c r="H4107" s="708"/>
      <c r="I4107" s="186">
        <v>1.06</v>
      </c>
      <c r="J4107" s="186"/>
      <c r="K4107" s="787">
        <f>+E4107*I4107</f>
        <v>265000</v>
      </c>
      <c r="L4107" s="422" t="s">
        <v>999</v>
      </c>
      <c r="M4107" s="50"/>
      <c r="O4107" s="5"/>
      <c r="P4107" s="9"/>
      <c r="Q4107" s="34"/>
      <c r="R4107" s="5"/>
      <c r="S4107" s="35"/>
    </row>
    <row r="4108" spans="1:21" ht="30" customHeight="1" x14ac:dyDescent="0.35">
      <c r="A4108" s="186" t="s">
        <v>1774</v>
      </c>
      <c r="B4108" s="1202" t="s">
        <v>1776</v>
      </c>
      <c r="C4108" s="1203"/>
      <c r="D4108" s="1204"/>
      <c r="E4108" s="7">
        <f>+(13700+20900)/2</f>
        <v>17300</v>
      </c>
      <c r="F4108" s="422" t="s">
        <v>40</v>
      </c>
      <c r="G4108" s="1134">
        <f>+H4105</f>
        <v>10.8</v>
      </c>
      <c r="H4108" s="708" t="s">
        <v>1777</v>
      </c>
      <c r="I4108" s="186">
        <v>1.06</v>
      </c>
      <c r="J4108" s="186"/>
      <c r="K4108" s="787">
        <f>+E4108/G4108*I4108</f>
        <v>1697.9629629629628</v>
      </c>
      <c r="L4108" s="422" t="s">
        <v>999</v>
      </c>
      <c r="M4108" s="50"/>
      <c r="O4108" s="5"/>
      <c r="P4108" s="9"/>
      <c r="Q4108" s="34"/>
      <c r="R4108" s="5"/>
      <c r="S4108" s="35"/>
    </row>
    <row r="4109" spans="1:21" ht="30" customHeight="1" x14ac:dyDescent="0.35">
      <c r="A4109" s="186" t="s">
        <v>1711</v>
      </c>
      <c r="B4109" s="1202" t="s">
        <v>1778</v>
      </c>
      <c r="C4109" s="1203"/>
      <c r="D4109" s="1204"/>
      <c r="E4109" s="7">
        <f>+(103+173)/2</f>
        <v>138</v>
      </c>
      <c r="F4109" s="422" t="s">
        <v>222</v>
      </c>
      <c r="G4109" s="1003">
        <f>50/H4105</f>
        <v>4.6296296296296298</v>
      </c>
      <c r="H4109" s="708" t="s">
        <v>1779</v>
      </c>
      <c r="I4109" s="186">
        <v>1.06</v>
      </c>
      <c r="J4109" s="186"/>
      <c r="K4109" s="787">
        <f>+E4109*G4109*I4109</f>
        <v>677.22222222222229</v>
      </c>
      <c r="L4109" s="422" t="s">
        <v>999</v>
      </c>
      <c r="M4109" s="50"/>
      <c r="O4109" s="5"/>
      <c r="P4109" s="9"/>
      <c r="Q4109" s="34"/>
      <c r="R4109" s="5"/>
      <c r="S4109" s="35"/>
    </row>
    <row r="4110" spans="1:21" ht="30" customHeight="1" x14ac:dyDescent="0.35">
      <c r="A4110" s="186" t="s">
        <v>193</v>
      </c>
      <c r="B4110" s="1202" t="s">
        <v>1780</v>
      </c>
      <c r="C4110" s="1203"/>
      <c r="D4110" s="1204"/>
      <c r="E4110" s="7">
        <v>6950</v>
      </c>
      <c r="F4110" s="422" t="s">
        <v>40</v>
      </c>
      <c r="G4110" s="1134">
        <f>+H4105</f>
        <v>10.8</v>
      </c>
      <c r="H4110" s="708" t="s">
        <v>1777</v>
      </c>
      <c r="I4110" s="204">
        <v>1</v>
      </c>
      <c r="J4110" s="186"/>
      <c r="K4110" s="787">
        <f>+E4110/G4110*I4110</f>
        <v>643.51851851851848</v>
      </c>
      <c r="L4110" s="422" t="s">
        <v>999</v>
      </c>
      <c r="M4110" s="50"/>
      <c r="O4110" s="5"/>
      <c r="P4110" s="9"/>
      <c r="Q4110" s="34"/>
      <c r="R4110" s="5"/>
      <c r="S4110" s="35"/>
    </row>
    <row r="4111" spans="1:21" ht="30" customHeight="1" x14ac:dyDescent="0.35">
      <c r="A4111" s="186" t="s">
        <v>193</v>
      </c>
      <c r="B4111" s="1202" t="s">
        <v>1781</v>
      </c>
      <c r="C4111" s="1203"/>
      <c r="D4111" s="1204"/>
      <c r="E4111" s="7">
        <f>+(2420+2875)/2</f>
        <v>2647.5</v>
      </c>
      <c r="F4111" s="422" t="s">
        <v>40</v>
      </c>
      <c r="G4111" s="1134">
        <f>+H4105</f>
        <v>10.8</v>
      </c>
      <c r="H4111" s="708" t="s">
        <v>1777</v>
      </c>
      <c r="I4111" s="204">
        <v>1</v>
      </c>
      <c r="J4111" s="186"/>
      <c r="K4111" s="787">
        <f>+E4111/G4111*I4111</f>
        <v>245.13888888888889</v>
      </c>
      <c r="L4111" s="422" t="s">
        <v>999</v>
      </c>
      <c r="M4111" s="50"/>
      <c r="O4111" s="5"/>
      <c r="P4111" s="9"/>
      <c r="Q4111" s="34"/>
      <c r="R4111" s="5"/>
      <c r="S4111" s="35"/>
    </row>
    <row r="4112" spans="1:21" ht="30" customHeight="1" x14ac:dyDescent="0.35">
      <c r="A4112" s="186" t="s">
        <v>193</v>
      </c>
      <c r="B4112" s="1202" t="s">
        <v>1782</v>
      </c>
      <c r="C4112" s="1203"/>
      <c r="D4112" s="1204"/>
      <c r="E4112" s="7">
        <f>+(6750+7450)/2</f>
        <v>7100</v>
      </c>
      <c r="F4112" s="422" t="s">
        <v>40</v>
      </c>
      <c r="G4112" s="1134">
        <f>+H4105</f>
        <v>10.8</v>
      </c>
      <c r="H4112" s="708" t="s">
        <v>1777</v>
      </c>
      <c r="I4112" s="204">
        <v>1</v>
      </c>
      <c r="J4112" s="186"/>
      <c r="K4112" s="787">
        <f>+E4112/G4112*I4112</f>
        <v>657.40740740740739</v>
      </c>
      <c r="L4112" s="422" t="s">
        <v>999</v>
      </c>
      <c r="M4112" s="96"/>
      <c r="O4112" s="5"/>
      <c r="P4112" s="9"/>
      <c r="Q4112" s="34"/>
      <c r="R4112" s="5"/>
      <c r="S4112" s="35"/>
    </row>
    <row r="4113" spans="1:20" ht="30" customHeight="1" x14ac:dyDescent="0.35">
      <c r="A4113" s="186" t="s">
        <v>193</v>
      </c>
      <c r="B4113" s="1202" t="s">
        <v>1783</v>
      </c>
      <c r="C4113" s="1203"/>
      <c r="D4113" s="1204"/>
      <c r="E4113" s="7">
        <f>+(2370+2925)/2</f>
        <v>2647.5</v>
      </c>
      <c r="F4113" s="422" t="s">
        <v>40</v>
      </c>
      <c r="G4113" s="1134">
        <f>+H4105</f>
        <v>10.8</v>
      </c>
      <c r="H4113" s="708" t="s">
        <v>1777</v>
      </c>
      <c r="I4113" s="204">
        <v>1</v>
      </c>
      <c r="J4113" s="186"/>
      <c r="K4113" s="787">
        <f>+E4113/G4113*I4113*2</f>
        <v>490.27777777777777</v>
      </c>
      <c r="L4113" s="422" t="s">
        <v>999</v>
      </c>
      <c r="M4113" s="50"/>
      <c r="O4113" s="5"/>
      <c r="P4113" s="9"/>
      <c r="Q4113" s="34"/>
      <c r="R4113" s="5"/>
      <c r="S4113" s="35"/>
    </row>
    <row r="4114" spans="1:20" ht="30" customHeight="1" x14ac:dyDescent="0.35">
      <c r="A4114" s="503"/>
      <c r="B4114" s="1211"/>
      <c r="C4114" s="1211"/>
      <c r="D4114" s="1211"/>
      <c r="E4114" s="194"/>
      <c r="F4114" s="186"/>
      <c r="G4114" s="186"/>
      <c r="H4114" s="186"/>
      <c r="I4114" s="186"/>
      <c r="J4114" s="186" t="s">
        <v>223</v>
      </c>
      <c r="K4114" s="205">
        <f>SUM(K4107:K4113)</f>
        <v>269411.52777777781</v>
      </c>
      <c r="L4114" s="422" t="s">
        <v>999</v>
      </c>
      <c r="M4114" s="50"/>
      <c r="O4114" s="5"/>
      <c r="P4114" s="9"/>
      <c r="Q4114" s="34"/>
      <c r="R4114" s="5"/>
      <c r="S4114" s="35"/>
    </row>
    <row r="4115" spans="1:20" ht="30" customHeight="1" x14ac:dyDescent="0.35">
      <c r="A4115" s="186"/>
      <c r="B4115" s="567"/>
      <c r="C4115" s="567"/>
      <c r="D4115" s="567"/>
      <c r="E4115" s="194"/>
      <c r="F4115" s="1215" t="s">
        <v>195</v>
      </c>
      <c r="G4115" s="1273" t="s">
        <v>196</v>
      </c>
      <c r="H4115" s="1273"/>
      <c r="I4115" s="1273"/>
      <c r="J4115" s="1273"/>
      <c r="K4115" s="196">
        <v>1.07</v>
      </c>
      <c r="L4115" s="186"/>
      <c r="M4115" s="50"/>
      <c r="N4115" s="50"/>
      <c r="O4115" s="5"/>
      <c r="P4115" s="9"/>
      <c r="Q4115" s="34"/>
      <c r="R4115" s="5"/>
      <c r="S4115" s="35"/>
    </row>
    <row r="4116" spans="1:20" ht="30" customHeight="1" x14ac:dyDescent="0.35">
      <c r="A4116" s="186"/>
      <c r="B4116" s="567"/>
      <c r="C4116" s="567"/>
      <c r="D4116" s="567"/>
      <c r="E4116" s="194"/>
      <c r="F4116" s="1216"/>
      <c r="G4116" s="1268" t="s">
        <v>276</v>
      </c>
      <c r="H4116" s="1268"/>
      <c r="I4116" s="1268"/>
      <c r="J4116" s="1268"/>
      <c r="K4116" s="196">
        <v>1.08</v>
      </c>
      <c r="L4116" s="186"/>
      <c r="M4116" s="50"/>
      <c r="O4116" s="5"/>
      <c r="P4116" s="9"/>
      <c r="Q4116" s="34"/>
      <c r="R4116" s="5"/>
      <c r="S4116" s="35"/>
    </row>
    <row r="4117" spans="1:20" ht="30" customHeight="1" x14ac:dyDescent="0.35">
      <c r="A4117" s="503"/>
      <c r="B4117" s="186"/>
      <c r="C4117" s="503"/>
      <c r="D4117" s="503"/>
      <c r="E4117" s="503"/>
      <c r="F4117" s="503"/>
      <c r="G4117" s="503"/>
      <c r="H4117" s="503"/>
      <c r="I4117" s="503"/>
      <c r="J4117" s="186" t="s">
        <v>37</v>
      </c>
      <c r="K4117" s="193">
        <f>+K4114*K4115/K4116</f>
        <v>266916.97659465024</v>
      </c>
      <c r="L4117" s="186" t="s">
        <v>999</v>
      </c>
      <c r="M4117" s="50"/>
      <c r="N4117" s="10"/>
      <c r="O4117" s="5"/>
      <c r="P4117" s="9"/>
      <c r="Q4117" s="34"/>
      <c r="R4117" s="5"/>
      <c r="S4117" s="35"/>
    </row>
    <row r="4118" spans="1:20" ht="30" customHeight="1" x14ac:dyDescent="0.35">
      <c r="A4118" s="186"/>
      <c r="B4118" s="186"/>
      <c r="C4118" s="503"/>
      <c r="D4118" s="503"/>
      <c r="E4118" s="503"/>
      <c r="F4118" s="503"/>
      <c r="G4118" s="1374" t="s">
        <v>257</v>
      </c>
      <c r="H4118" s="1375"/>
      <c r="I4118" s="1376"/>
      <c r="J4118" s="560">
        <f>VLOOKUP(B4105,'Mil Cost Premiums for PUCs'!$A$4:$R$285,18,FALSE)</f>
        <v>1.1199953840399997</v>
      </c>
      <c r="K4118" s="193">
        <f>+K4117*J4118</f>
        <v>298945.78170792089</v>
      </c>
      <c r="L4118" s="186" t="s">
        <v>999</v>
      </c>
      <c r="M4118" s="50"/>
      <c r="N4118" s="10"/>
      <c r="O4118" s="5"/>
      <c r="P4118" s="9"/>
      <c r="Q4118" s="34"/>
      <c r="R4118" s="5"/>
      <c r="S4118" s="35"/>
    </row>
    <row r="4119" spans="1:20" ht="30" customHeight="1" x14ac:dyDescent="0.35">
      <c r="A4119" s="904"/>
      <c r="B4119" s="904"/>
      <c r="C4119" s="905"/>
      <c r="D4119" s="905"/>
      <c r="E4119" s="905"/>
      <c r="F4119" s="1415" t="s">
        <v>277</v>
      </c>
      <c r="G4119" s="1415"/>
      <c r="H4119" s="1415"/>
      <c r="I4119" s="1415"/>
      <c r="J4119" s="1086">
        <v>1.0833999999999999</v>
      </c>
      <c r="K4119" s="1087">
        <f>K4118*J4119</f>
        <v>323877.85990236147</v>
      </c>
      <c r="L4119" s="186" t="s">
        <v>999</v>
      </c>
      <c r="M4119" s="50"/>
      <c r="O4119" s="5"/>
      <c r="P4119" s="9"/>
      <c r="Q4119" s="34"/>
      <c r="R4119" s="5"/>
      <c r="S4119" s="35"/>
    </row>
    <row r="4120" spans="1:20" ht="30" customHeight="1" x14ac:dyDescent="0.35">
      <c r="A4120" s="569"/>
      <c r="B4120" s="569"/>
      <c r="C4120" s="510"/>
      <c r="D4120" s="510"/>
      <c r="E4120" s="510"/>
      <c r="F4120" s="510"/>
      <c r="G4120" s="1737" t="s">
        <v>2817</v>
      </c>
      <c r="H4120" s="1738"/>
      <c r="I4120" s="1739"/>
      <c r="J4120" s="570">
        <v>1.1214</v>
      </c>
      <c r="K4120" s="285">
        <f>+K4119*J4120</f>
        <v>363196.63209450815</v>
      </c>
      <c r="L4120" s="186" t="s">
        <v>999</v>
      </c>
      <c r="M4120" s="50"/>
      <c r="O4120" s="5"/>
      <c r="P4120" s="9"/>
      <c r="Q4120" s="34"/>
      <c r="R4120" s="5"/>
      <c r="S4120" s="35"/>
    </row>
    <row r="4121" spans="1:20" ht="30" customHeight="1" thickBot="1" x14ac:dyDescent="0.4">
      <c r="A4121" s="569"/>
      <c r="B4121" s="569"/>
      <c r="C4121" s="510"/>
      <c r="D4121" s="510"/>
      <c r="E4121" s="510"/>
      <c r="F4121" s="510"/>
      <c r="G4121" s="1191" t="s">
        <v>3000</v>
      </c>
      <c r="H4121" s="1192"/>
      <c r="I4121" s="1193"/>
      <c r="J4121" s="570">
        <v>1.0438745311870361</v>
      </c>
      <c r="K4121" s="285">
        <f>+K4120*J4121</f>
        <v>379131.71405636513</v>
      </c>
      <c r="L4121" s="186" t="s">
        <v>999</v>
      </c>
      <c r="M4121" s="50"/>
      <c r="O4121" s="5"/>
      <c r="P4121" s="9"/>
      <c r="Q4121" s="34"/>
      <c r="R4121" s="5"/>
      <c r="S4121" s="35"/>
    </row>
    <row r="4122" spans="1:20" ht="30" customHeight="1" thickBot="1" x14ac:dyDescent="0.4">
      <c r="A4122" s="1199"/>
      <c r="B4122" s="1200"/>
      <c r="C4122" s="1200"/>
      <c r="D4122" s="1200"/>
      <c r="E4122" s="1200"/>
      <c r="F4122" s="1200"/>
      <c r="G4122" s="1200"/>
      <c r="H4122" s="1200"/>
      <c r="I4122" s="1200"/>
      <c r="J4122" s="1200"/>
      <c r="K4122" s="1200"/>
      <c r="L4122" s="1201"/>
      <c r="P4122" s="9"/>
      <c r="T4122" s="10"/>
    </row>
    <row r="4123" spans="1:20" ht="30" customHeight="1" x14ac:dyDescent="0.35">
      <c r="A4123" s="388" t="s">
        <v>1</v>
      </c>
      <c r="B4123" s="389">
        <v>8333</v>
      </c>
      <c r="C4123" s="1205" t="s">
        <v>1784</v>
      </c>
      <c r="D4123" s="1206"/>
      <c r="E4123" s="392" t="s">
        <v>3</v>
      </c>
      <c r="F4123" s="525" t="s">
        <v>487</v>
      </c>
      <c r="G4123" s="390" t="s">
        <v>38</v>
      </c>
      <c r="H4123" s="154">
        <v>22.2</v>
      </c>
      <c r="I4123" s="392" t="s">
        <v>5</v>
      </c>
      <c r="J4123" s="1207" t="s">
        <v>1785</v>
      </c>
      <c r="K4123" s="1207"/>
      <c r="L4123" s="1208"/>
      <c r="M4123" s="50"/>
      <c r="P4123" s="9"/>
      <c r="Q4123" s="34"/>
      <c r="R4123" s="5"/>
      <c r="S4123" s="35"/>
    </row>
    <row r="4124" spans="1:20" ht="30" customHeight="1" x14ac:dyDescent="0.35">
      <c r="A4124" s="185"/>
      <c r="B4124" s="1272" t="s">
        <v>7</v>
      </c>
      <c r="C4124" s="1272"/>
      <c r="D4124" s="1272"/>
      <c r="E4124" s="185" t="s">
        <v>382</v>
      </c>
      <c r="F4124" s="185" t="s">
        <v>9</v>
      </c>
      <c r="G4124" s="1219" t="s">
        <v>54</v>
      </c>
      <c r="H4124" s="1220"/>
      <c r="I4124" s="185" t="s">
        <v>55</v>
      </c>
      <c r="J4124" s="124" t="s">
        <v>179</v>
      </c>
      <c r="K4124" s="1209" t="s">
        <v>180</v>
      </c>
      <c r="L4124" s="1210"/>
      <c r="M4124" s="50"/>
      <c r="P4124" s="9"/>
      <c r="Q4124" s="34"/>
      <c r="R4124" s="5"/>
      <c r="S4124" s="35"/>
    </row>
    <row r="4125" spans="1:20" ht="30" customHeight="1" x14ac:dyDescent="0.35">
      <c r="A4125" s="407"/>
      <c r="B4125" s="1265" t="s">
        <v>1786</v>
      </c>
      <c r="C4125" s="1265"/>
      <c r="D4125" s="1265"/>
      <c r="E4125" s="497">
        <v>521505</v>
      </c>
      <c r="F4125" s="407" t="s">
        <v>487</v>
      </c>
      <c r="G4125" s="503"/>
      <c r="H4125" s="757"/>
      <c r="I4125" s="1135">
        <v>0.93</v>
      </c>
      <c r="J4125" s="405">
        <f>'FY2024 MILCON Inflation Table'!F15</f>
        <v>1.3402943931789864</v>
      </c>
      <c r="K4125" s="497">
        <f>+E4125/I4125*J4125</f>
        <v>751580.889800868</v>
      </c>
      <c r="L4125" s="407" t="s">
        <v>487</v>
      </c>
      <c r="M4125" s="50"/>
      <c r="P4125" s="9"/>
      <c r="Q4125" s="34"/>
      <c r="R4125" s="5"/>
      <c r="S4125" s="35"/>
    </row>
    <row r="4126" spans="1:20" ht="30" customHeight="1" x14ac:dyDescent="0.35">
      <c r="A4126" s="407"/>
      <c r="B4126" s="1265" t="s">
        <v>1787</v>
      </c>
      <c r="C4126" s="1265"/>
      <c r="D4126" s="1265"/>
      <c r="E4126" s="497">
        <v>1200000</v>
      </c>
      <c r="F4126" s="407" t="s">
        <v>487</v>
      </c>
      <c r="G4126" s="503"/>
      <c r="H4126" s="757"/>
      <c r="I4126" s="1135">
        <v>1.06</v>
      </c>
      <c r="J4126" s="405">
        <f>'FY2024 MILCON Inflation Table'!F17</f>
        <v>1.2685988100270957</v>
      </c>
      <c r="K4126" s="497">
        <f>+E4126/I4126*J4126</f>
        <v>1436149.5962570896</v>
      </c>
      <c r="L4126" s="407" t="s">
        <v>487</v>
      </c>
      <c r="M4126" s="50"/>
      <c r="P4126" s="9"/>
      <c r="Q4126" s="34"/>
      <c r="R4126" s="5"/>
      <c r="S4126" s="35"/>
    </row>
    <row r="4127" spans="1:20" ht="30" customHeight="1" x14ac:dyDescent="0.35">
      <c r="A4127" s="407"/>
      <c r="B4127" s="1265" t="s">
        <v>1788</v>
      </c>
      <c r="C4127" s="1265"/>
      <c r="D4127" s="1265"/>
      <c r="E4127" s="497">
        <v>380000</v>
      </c>
      <c r="F4127" s="407" t="s">
        <v>487</v>
      </c>
      <c r="G4127" s="503"/>
      <c r="H4127" s="757"/>
      <c r="I4127" s="1135">
        <v>1.1399999999999999</v>
      </c>
      <c r="J4127" s="405">
        <f>'FY2024 MILCON Inflation Table'!F14</f>
        <v>1.4139446884504483</v>
      </c>
      <c r="K4127" s="497">
        <f>+E4127/I4127*J4127</f>
        <v>471314.89615014946</v>
      </c>
      <c r="L4127" s="407" t="s">
        <v>487</v>
      </c>
      <c r="M4127" s="50"/>
      <c r="P4127" s="9"/>
      <c r="Q4127" s="34"/>
      <c r="R4127" s="5"/>
      <c r="S4127" s="35"/>
    </row>
    <row r="4128" spans="1:20" ht="30" customHeight="1" x14ac:dyDescent="0.35">
      <c r="A4128" s="420"/>
      <c r="B4128" s="410"/>
      <c r="C4128" s="410"/>
      <c r="D4128" s="410"/>
      <c r="E4128" s="1136"/>
      <c r="F4128" s="593"/>
      <c r="G4128" s="1137"/>
      <c r="H4128" s="1138"/>
      <c r="I4128" s="1139"/>
      <c r="J4128" s="424" t="s">
        <v>2551</v>
      </c>
      <c r="K4128" s="1140">
        <f>AVERAGE(K4125:K4127)</f>
        <v>886348.46073603572</v>
      </c>
      <c r="L4128" s="407" t="s">
        <v>487</v>
      </c>
      <c r="M4128" s="50"/>
      <c r="P4128" s="9"/>
      <c r="Q4128" s="34"/>
      <c r="R4128" s="5"/>
      <c r="S4128" s="35"/>
    </row>
    <row r="4129" spans="1:26" ht="30" customHeight="1" x14ac:dyDescent="0.35">
      <c r="A4129" s="407"/>
      <c r="B4129" s="383"/>
      <c r="C4129" s="383"/>
      <c r="D4129" s="383"/>
      <c r="E4129" s="954"/>
      <c r="F4129" s="394"/>
      <c r="G4129" s="711"/>
      <c r="H4129" s="750"/>
      <c r="I4129" s="1135"/>
      <c r="J4129" s="494" t="s">
        <v>37</v>
      </c>
      <c r="K4129" s="190">
        <f>+K4128</f>
        <v>886348.46073603572</v>
      </c>
      <c r="L4129" s="186" t="s">
        <v>487</v>
      </c>
      <c r="M4129" s="50"/>
      <c r="O4129" s="5"/>
      <c r="P4129" s="9"/>
      <c r="Q4129" s="34"/>
      <c r="R4129" s="5"/>
      <c r="S4129" s="35"/>
    </row>
    <row r="4130" spans="1:26" ht="30" customHeight="1" thickBot="1" x14ac:dyDescent="0.4">
      <c r="A4130" s="1462" t="s">
        <v>1789</v>
      </c>
      <c r="B4130" s="1463"/>
      <c r="C4130" s="1463"/>
      <c r="D4130" s="1463"/>
      <c r="E4130" s="552"/>
      <c r="F4130" s="553"/>
      <c r="G4130" s="1366" t="s">
        <v>257</v>
      </c>
      <c r="H4130" s="1367"/>
      <c r="I4130" s="1368"/>
      <c r="J4130" s="560">
        <f>VLOOKUP(B4123,'Mil Cost Premiums for PUCs'!$A$4:$R$285,18,FALSE)</f>
        <v>1.1199953840399997</v>
      </c>
      <c r="K4130" s="193">
        <f>+K4129*J4130</f>
        <v>992706.18467531889</v>
      </c>
      <c r="L4130" s="186" t="s">
        <v>487</v>
      </c>
      <c r="M4130" s="50"/>
      <c r="O4130" s="5"/>
      <c r="P4130" s="9"/>
      <c r="Q4130" s="34"/>
      <c r="R4130" s="5"/>
      <c r="S4130" s="35"/>
    </row>
    <row r="4131" spans="1:26" ht="30" customHeight="1" thickBot="1" x14ac:dyDescent="0.4">
      <c r="A4131" s="1199"/>
      <c r="B4131" s="1200"/>
      <c r="C4131" s="1200"/>
      <c r="D4131" s="1200"/>
      <c r="E4131" s="1200"/>
      <c r="F4131" s="1200"/>
      <c r="G4131" s="1200"/>
      <c r="H4131" s="1200"/>
      <c r="I4131" s="1200"/>
      <c r="J4131" s="1200"/>
      <c r="K4131" s="1200"/>
      <c r="L4131" s="1201"/>
      <c r="M4131" s="50"/>
      <c r="O4131" s="5"/>
      <c r="P4131" s="9"/>
      <c r="Q4131" s="34"/>
      <c r="R4131" s="5"/>
      <c r="S4131" s="35"/>
    </row>
    <row r="4132" spans="1:26" ht="30" customHeight="1" x14ac:dyDescent="0.35">
      <c r="A4132" s="388" t="s">
        <v>1</v>
      </c>
      <c r="B4132" s="389">
        <v>8334</v>
      </c>
      <c r="C4132" s="1205" t="s">
        <v>1790</v>
      </c>
      <c r="D4132" s="1206"/>
      <c r="E4132" s="392" t="s">
        <v>3</v>
      </c>
      <c r="F4132" s="393" t="s">
        <v>487</v>
      </c>
      <c r="G4132" s="390" t="s">
        <v>38</v>
      </c>
      <c r="H4132" s="154">
        <v>17.149999999999999</v>
      </c>
      <c r="I4132" s="392" t="s">
        <v>5</v>
      </c>
      <c r="J4132" s="1207" t="s">
        <v>1785</v>
      </c>
      <c r="K4132" s="1207"/>
      <c r="L4132" s="1208"/>
      <c r="M4132" s="96"/>
      <c r="O4132" s="5"/>
      <c r="P4132" s="9"/>
      <c r="Q4132" s="34"/>
      <c r="R4132" s="5"/>
      <c r="S4132" s="35"/>
    </row>
    <row r="4133" spans="1:26" ht="30" customHeight="1" x14ac:dyDescent="0.35">
      <c r="A4133" s="185"/>
      <c r="B4133" s="1602" t="s">
        <v>7</v>
      </c>
      <c r="C4133" s="1602"/>
      <c r="D4133" s="1602"/>
      <c r="E4133" s="492" t="s">
        <v>382</v>
      </c>
      <c r="F4133" s="492" t="s">
        <v>9</v>
      </c>
      <c r="G4133" s="1362" t="s">
        <v>54</v>
      </c>
      <c r="H4133" s="1363"/>
      <c r="I4133" s="185" t="s">
        <v>55</v>
      </c>
      <c r="J4133" s="124" t="s">
        <v>179</v>
      </c>
      <c r="K4133" s="1209" t="s">
        <v>180</v>
      </c>
      <c r="L4133" s="1210"/>
      <c r="M4133" s="96"/>
      <c r="O4133" s="5"/>
      <c r="P4133" s="9"/>
      <c r="Q4133" s="34"/>
      <c r="R4133" s="5"/>
      <c r="S4133" s="35"/>
    </row>
    <row r="4134" spans="1:26" ht="30" customHeight="1" x14ac:dyDescent="0.35">
      <c r="A4134" s="390"/>
      <c r="B4134" s="1603" t="s">
        <v>1791</v>
      </c>
      <c r="C4134" s="1603"/>
      <c r="D4134" s="1603"/>
      <c r="E4134" s="1141">
        <f>K4130</f>
        <v>992706.18467531889</v>
      </c>
      <c r="F4134" s="1118" t="s">
        <v>487</v>
      </c>
      <c r="G4134" s="623">
        <v>1.27</v>
      </c>
      <c r="H4134" s="1142" t="s">
        <v>1792</v>
      </c>
      <c r="I4134" s="1143">
        <v>1</v>
      </c>
      <c r="J4134" s="405">
        <v>1</v>
      </c>
      <c r="K4134" s="497">
        <f>E4134*G4134*I4134*J4134</f>
        <v>1260736.8545376549</v>
      </c>
      <c r="L4134" s="407" t="s">
        <v>487</v>
      </c>
      <c r="M4134" s="50"/>
      <c r="N4134" s="50"/>
      <c r="O4134" s="5"/>
      <c r="P4134" s="9"/>
      <c r="Q4134" s="34"/>
      <c r="R4134" s="5"/>
      <c r="S4134" s="35"/>
    </row>
    <row r="4135" spans="1:26" ht="30" customHeight="1" x14ac:dyDescent="0.35">
      <c r="A4135" s="127"/>
      <c r="B4135" s="1425"/>
      <c r="C4135" s="1425"/>
      <c r="D4135" s="1425"/>
      <c r="E4135" s="1425" t="s">
        <v>1793</v>
      </c>
      <c r="F4135" s="1425"/>
      <c r="G4135" s="1425"/>
      <c r="H4135" s="1425"/>
      <c r="I4135" s="712"/>
      <c r="J4135" s="494" t="s">
        <v>37</v>
      </c>
      <c r="K4135" s="219">
        <f>+K4134</f>
        <v>1260736.8545376549</v>
      </c>
      <c r="L4135" s="186" t="s">
        <v>487</v>
      </c>
      <c r="M4135" s="51"/>
      <c r="O4135" s="5"/>
      <c r="P4135" s="9"/>
      <c r="Q4135" s="34"/>
      <c r="R4135" s="5"/>
      <c r="S4135" s="35"/>
    </row>
    <row r="4136" spans="1:26" ht="30" customHeight="1" x14ac:dyDescent="0.35">
      <c r="A4136" s="1394" t="s">
        <v>2465</v>
      </c>
      <c r="B4136" s="1395"/>
      <c r="C4136" s="1395"/>
      <c r="D4136" s="1395"/>
      <c r="E4136" s="1395"/>
      <c r="F4136" s="1395"/>
      <c r="G4136" s="1395"/>
      <c r="H4136" s="1395"/>
      <c r="I4136" s="1395"/>
      <c r="J4136" s="1395"/>
      <c r="K4136" s="1395"/>
      <c r="L4136" s="1474"/>
      <c r="M4136" s="50"/>
      <c r="O4136" s="5"/>
      <c r="P4136" s="9"/>
      <c r="Q4136" s="34"/>
      <c r="R4136" s="5"/>
      <c r="S4136" s="35"/>
    </row>
    <row r="4137" spans="1:26" ht="30" customHeight="1" thickBot="1" x14ac:dyDescent="0.4">
      <c r="A4137" s="1394"/>
      <c r="B4137" s="1395"/>
      <c r="C4137" s="1395"/>
      <c r="D4137" s="1395"/>
      <c r="E4137" s="1395"/>
      <c r="F4137" s="1395"/>
      <c r="G4137" s="1395"/>
      <c r="H4137" s="1395"/>
      <c r="I4137" s="1395"/>
      <c r="J4137" s="1395"/>
      <c r="K4137" s="1395"/>
      <c r="L4137" s="1474"/>
      <c r="M4137" s="50"/>
      <c r="O4137" s="5"/>
      <c r="P4137" s="9"/>
      <c r="Q4137" s="34"/>
      <c r="R4137" s="5"/>
      <c r="S4137" s="35"/>
    </row>
    <row r="4138" spans="1:26" ht="30" customHeight="1" thickBot="1" x14ac:dyDescent="0.4">
      <c r="A4138" s="1199"/>
      <c r="B4138" s="1200"/>
      <c r="C4138" s="1200"/>
      <c r="D4138" s="1200"/>
      <c r="E4138" s="1200"/>
      <c r="F4138" s="1200"/>
      <c r="G4138" s="1200"/>
      <c r="H4138" s="1200"/>
      <c r="I4138" s="1200"/>
      <c r="J4138" s="1200"/>
      <c r="K4138" s="1200"/>
      <c r="L4138" s="1201"/>
      <c r="M4138" s="96"/>
      <c r="O4138" s="5"/>
      <c r="P4138" s="9"/>
      <c r="Q4138" s="34"/>
      <c r="R4138" s="5"/>
      <c r="S4138" s="35"/>
    </row>
    <row r="4139" spans="1:26" ht="30" customHeight="1" x14ac:dyDescent="0.35">
      <c r="A4139" s="388" t="s">
        <v>1</v>
      </c>
      <c r="B4139" s="389">
        <v>8412</v>
      </c>
      <c r="C4139" s="1288" t="s">
        <v>1794</v>
      </c>
      <c r="D4139" s="1289"/>
      <c r="E4139" s="392" t="s">
        <v>3</v>
      </c>
      <c r="F4139" s="393" t="s">
        <v>1751</v>
      </c>
      <c r="G4139" s="390" t="s">
        <v>38</v>
      </c>
      <c r="H4139" s="132">
        <v>1189</v>
      </c>
      <c r="I4139" s="392" t="s">
        <v>5</v>
      </c>
      <c r="J4139" s="1207" t="s">
        <v>995</v>
      </c>
      <c r="K4139" s="1207"/>
      <c r="L4139" s="1208"/>
      <c r="M4139" s="97"/>
      <c r="N4139" s="10"/>
      <c r="O4139" s="5"/>
      <c r="P4139" s="9"/>
      <c r="Q4139" s="34"/>
      <c r="R4139" s="5"/>
      <c r="S4139" s="35"/>
    </row>
    <row r="4140" spans="1:26" ht="30" customHeight="1" x14ac:dyDescent="0.35">
      <c r="A4140" s="494" t="s">
        <v>187</v>
      </c>
      <c r="B4140" s="1280" t="s">
        <v>211</v>
      </c>
      <c r="C4140" s="1281"/>
      <c r="D4140" s="1282"/>
      <c r="E4140" s="566" t="s">
        <v>52</v>
      </c>
      <c r="F4140" s="566" t="s">
        <v>53</v>
      </c>
      <c r="G4140" s="1219" t="s">
        <v>54</v>
      </c>
      <c r="H4140" s="1220"/>
      <c r="I4140" s="185" t="s">
        <v>188</v>
      </c>
      <c r="J4140" s="185" t="s">
        <v>179</v>
      </c>
      <c r="K4140" s="1209" t="s">
        <v>180</v>
      </c>
      <c r="L4140" s="1210"/>
      <c r="M4140" s="50"/>
      <c r="N4140" s="10"/>
      <c r="O4140" s="5"/>
      <c r="P4140" s="9"/>
      <c r="Q4140" s="34"/>
      <c r="R4140" s="5"/>
      <c r="S4140" s="35"/>
    </row>
    <row r="4141" spans="1:26" ht="30" customHeight="1" x14ac:dyDescent="0.35">
      <c r="A4141" s="186" t="s">
        <v>997</v>
      </c>
      <c r="B4141" s="1212" t="s">
        <v>1795</v>
      </c>
      <c r="C4141" s="1213"/>
      <c r="D4141" s="1214"/>
      <c r="E4141" s="7">
        <f>+((4.57+5.44)/2)</f>
        <v>5.0050000000000008</v>
      </c>
      <c r="F4141" s="422" t="s">
        <v>1796</v>
      </c>
      <c r="G4141" s="19">
        <v>1000</v>
      </c>
      <c r="H4141" s="708" t="s">
        <v>1753</v>
      </c>
      <c r="I4141" s="186">
        <v>1.05</v>
      </c>
      <c r="J4141" s="1022">
        <f>+'FY2024 MILCON Inflation Table'!D19/+'FY2024 MILCON Inflation Table'!D14</f>
        <v>1.3545159367405897</v>
      </c>
      <c r="K4141" s="193">
        <f>+E4141*G4141*I4141*J4141</f>
        <v>7118.3198765559855</v>
      </c>
      <c r="L4141" s="422" t="s">
        <v>1751</v>
      </c>
      <c r="M4141" s="50"/>
      <c r="O4141" s="5"/>
      <c r="P4141" s="9"/>
      <c r="Q4141" s="34"/>
      <c r="R4141" s="5"/>
      <c r="S4141" s="35"/>
    </row>
    <row r="4142" spans="1:26" ht="30" customHeight="1" x14ac:dyDescent="0.35">
      <c r="A4142" s="186"/>
      <c r="B4142" s="567"/>
      <c r="C4142" s="567"/>
      <c r="D4142" s="567"/>
      <c r="E4142" s="194"/>
      <c r="F4142" s="1215" t="s">
        <v>195</v>
      </c>
      <c r="G4142" s="1273" t="s">
        <v>196</v>
      </c>
      <c r="H4142" s="1273"/>
      <c r="I4142" s="1273"/>
      <c r="J4142" s="1273"/>
      <c r="K4142" s="196">
        <v>1.06</v>
      </c>
      <c r="L4142" s="186"/>
      <c r="M4142" s="50"/>
      <c r="N4142" s="50"/>
      <c r="O4142" s="5"/>
      <c r="P4142" s="9"/>
      <c r="Q4142" s="34"/>
      <c r="R4142" s="5"/>
      <c r="S4142" s="35"/>
    </row>
    <row r="4143" spans="1:26" ht="30" customHeight="1" x14ac:dyDescent="0.35">
      <c r="A4143" s="186"/>
      <c r="B4143" s="567"/>
      <c r="C4143" s="567"/>
      <c r="D4143" s="567"/>
      <c r="E4143" s="194"/>
      <c r="F4143" s="1216"/>
      <c r="G4143" s="1268" t="s">
        <v>3036</v>
      </c>
      <c r="H4143" s="1268"/>
      <c r="I4143" s="1268"/>
      <c r="J4143" s="1268"/>
      <c r="K4143" s="196">
        <v>1.02</v>
      </c>
      <c r="L4143" s="186"/>
      <c r="M4143" s="50"/>
      <c r="O4143" s="5"/>
      <c r="P4143" s="9"/>
      <c r="Q4143" s="34"/>
      <c r="R4143" s="5"/>
      <c r="S4143" s="35"/>
      <c r="X4143" s="396"/>
      <c r="Y4143" s="396"/>
    </row>
    <row r="4144" spans="1:26" ht="30" customHeight="1" x14ac:dyDescent="0.35">
      <c r="A4144" s="790"/>
      <c r="B4144" s="1202"/>
      <c r="C4144" s="1203"/>
      <c r="D4144" s="1204"/>
      <c r="E4144" s="194"/>
      <c r="F4144" s="422"/>
      <c r="G4144" s="127"/>
      <c r="H4144" s="136"/>
      <c r="I4144" s="186"/>
      <c r="J4144" s="186" t="s">
        <v>37</v>
      </c>
      <c r="K4144" s="193">
        <f>+K4141*K4142/K4143</f>
        <v>7397.4696756366129</v>
      </c>
      <c r="L4144" s="186" t="s">
        <v>1751</v>
      </c>
      <c r="M4144" s="50"/>
      <c r="O4144" s="5"/>
      <c r="P4144" s="9"/>
      <c r="Q4144" s="34"/>
      <c r="R4144" s="5"/>
      <c r="S4144" s="35"/>
      <c r="Z4144" s="396"/>
    </row>
    <row r="4145" spans="1:19" ht="30" customHeight="1" x14ac:dyDescent="0.35">
      <c r="A4145" s="790"/>
      <c r="B4145" s="373"/>
      <c r="C4145" s="374"/>
      <c r="D4145" s="375"/>
      <c r="E4145" s="194"/>
      <c r="F4145" s="422"/>
      <c r="G4145" s="1194" t="s">
        <v>257</v>
      </c>
      <c r="H4145" s="1195"/>
      <c r="I4145" s="1196"/>
      <c r="J4145" s="560">
        <f>VLOOKUP(B4139,'Mil Cost Premiums for PUCs'!$A$4:$R$285,18,FALSE)</f>
        <v>1.1199953840399997</v>
      </c>
      <c r="K4145" s="193">
        <f>+K4144*J4145</f>
        <v>8285.1318902888797</v>
      </c>
      <c r="L4145" s="186" t="s">
        <v>1751</v>
      </c>
      <c r="M4145" s="50"/>
      <c r="O4145" s="5"/>
      <c r="P4145" s="9"/>
      <c r="Q4145" s="34"/>
      <c r="R4145" s="5"/>
      <c r="S4145" s="35"/>
    </row>
    <row r="4146" spans="1:19" ht="30" customHeight="1" thickBot="1" x14ac:dyDescent="0.4">
      <c r="A4146" s="790"/>
      <c r="B4146" s="373"/>
      <c r="C4146" s="374"/>
      <c r="D4146" s="375"/>
      <c r="E4146" s="194"/>
      <c r="F4146" s="422"/>
      <c r="G4146" s="1309" t="s">
        <v>3000</v>
      </c>
      <c r="H4146" s="1310"/>
      <c r="I4146" s="1311"/>
      <c r="J4146" s="560">
        <v>1.0438745311870361</v>
      </c>
      <c r="K4146" s="193">
        <f>+K4145*J4146</f>
        <v>8648.6381677980662</v>
      </c>
      <c r="L4146" s="186" t="s">
        <v>1751</v>
      </c>
      <c r="M4146" s="50"/>
      <c r="O4146" s="5"/>
      <c r="P4146" s="9"/>
      <c r="Q4146" s="34"/>
      <c r="R4146" s="5"/>
      <c r="S4146" s="35"/>
    </row>
    <row r="4147" spans="1:19" ht="30" customHeight="1" thickBot="1" x14ac:dyDescent="0.4">
      <c r="A4147" s="1199"/>
      <c r="B4147" s="1200"/>
      <c r="C4147" s="1200"/>
      <c r="D4147" s="1200"/>
      <c r="E4147" s="1200"/>
      <c r="F4147" s="1200"/>
      <c r="G4147" s="1200"/>
      <c r="H4147" s="1200"/>
      <c r="I4147" s="1200"/>
      <c r="J4147" s="1200"/>
      <c r="K4147" s="1200"/>
      <c r="L4147" s="1201"/>
      <c r="M4147" s="50"/>
      <c r="N4147" s="10"/>
      <c r="O4147" s="5"/>
      <c r="P4147" s="9"/>
      <c r="Q4147" s="34"/>
      <c r="R4147" s="5"/>
      <c r="S4147" s="35"/>
    </row>
    <row r="4148" spans="1:19" ht="30" customHeight="1" x14ac:dyDescent="0.35">
      <c r="A4148" s="388" t="s">
        <v>1</v>
      </c>
      <c r="B4148" s="389">
        <v>8413</v>
      </c>
      <c r="C4148" s="1205" t="s">
        <v>1797</v>
      </c>
      <c r="D4148" s="1206"/>
      <c r="E4148" s="392" t="s">
        <v>3</v>
      </c>
      <c r="F4148" s="393" t="s">
        <v>113</v>
      </c>
      <c r="G4148" s="390" t="s">
        <v>38</v>
      </c>
      <c r="H4148" s="146">
        <v>352931</v>
      </c>
      <c r="I4148" s="392" t="s">
        <v>5</v>
      </c>
      <c r="J4148" s="1207" t="s">
        <v>232</v>
      </c>
      <c r="K4148" s="1207"/>
      <c r="L4148" s="1208"/>
      <c r="M4148" s="50"/>
      <c r="O4148" s="5"/>
      <c r="P4148" s="9"/>
      <c r="Q4148" s="34"/>
      <c r="R4148" s="5"/>
      <c r="S4148" s="35"/>
    </row>
    <row r="4149" spans="1:19" ht="30" customHeight="1" x14ac:dyDescent="0.35">
      <c r="A4149" s="185" t="s">
        <v>177</v>
      </c>
      <c r="B4149" s="1280" t="s">
        <v>211</v>
      </c>
      <c r="C4149" s="1281"/>
      <c r="D4149" s="1282"/>
      <c r="E4149" s="566" t="s">
        <v>52</v>
      </c>
      <c r="F4149" s="566" t="s">
        <v>53</v>
      </c>
      <c r="G4149" s="1219" t="s">
        <v>54</v>
      </c>
      <c r="H4149" s="1220"/>
      <c r="I4149" s="1221" t="s">
        <v>179</v>
      </c>
      <c r="J4149" s="1222"/>
      <c r="K4149" s="399" t="s">
        <v>180</v>
      </c>
      <c r="L4149" s="400"/>
      <c r="M4149" s="50"/>
      <c r="N4149" s="50"/>
      <c r="O4149" s="5"/>
      <c r="P4149" s="9"/>
      <c r="Q4149" s="34"/>
      <c r="R4149" s="5"/>
      <c r="S4149" s="35"/>
    </row>
    <row r="4150" spans="1:19" ht="30" customHeight="1" x14ac:dyDescent="0.35">
      <c r="A4150" s="186">
        <v>84620</v>
      </c>
      <c r="B4150" s="1212" t="s">
        <v>1798</v>
      </c>
      <c r="C4150" s="1213"/>
      <c r="D4150" s="1214"/>
      <c r="E4150" s="7">
        <v>491730</v>
      </c>
      <c r="F4150" s="422" t="s">
        <v>40</v>
      </c>
      <c r="G4150" s="19">
        <v>250000</v>
      </c>
      <c r="H4150" s="708" t="s">
        <v>1118</v>
      </c>
      <c r="I4150" s="1307">
        <f>+'FY2024 MILCON Inflation Table'!F21</f>
        <v>0.97847358121330719</v>
      </c>
      <c r="J4150" s="1308"/>
      <c r="K4150" s="193">
        <f>+E4150/G4150*I4150</f>
        <v>1.9245792563600781</v>
      </c>
      <c r="L4150" s="422" t="s">
        <v>113</v>
      </c>
      <c r="M4150" s="50"/>
      <c r="N4150" s="50"/>
      <c r="O4150" s="5"/>
      <c r="P4150" s="9"/>
      <c r="Q4150" s="34"/>
      <c r="R4150" s="5"/>
      <c r="S4150" s="35"/>
    </row>
    <row r="4151" spans="1:19" ht="30" customHeight="1" x14ac:dyDescent="0.35">
      <c r="A4151" s="186">
        <v>84620</v>
      </c>
      <c r="B4151" s="1212" t="s">
        <v>1799</v>
      </c>
      <c r="C4151" s="1213"/>
      <c r="D4151" s="1214"/>
      <c r="E4151" s="194">
        <v>690760</v>
      </c>
      <c r="F4151" s="186" t="s">
        <v>40</v>
      </c>
      <c r="G4151" s="155">
        <v>500000</v>
      </c>
      <c r="H4151" s="136" t="s">
        <v>1118</v>
      </c>
      <c r="I4151" s="1307">
        <f>+I4150</f>
        <v>0.97847358121330719</v>
      </c>
      <c r="J4151" s="1308"/>
      <c r="K4151" s="193">
        <f>+E4151/G4151*I4151</f>
        <v>1.3517808219178082</v>
      </c>
      <c r="L4151" s="186" t="s">
        <v>113</v>
      </c>
      <c r="M4151" s="50"/>
      <c r="O4151" s="5"/>
      <c r="P4151" s="9"/>
      <c r="Q4151" s="34"/>
      <c r="R4151" s="5"/>
      <c r="S4151" s="35"/>
    </row>
    <row r="4152" spans="1:19" ht="30" customHeight="1" x14ac:dyDescent="0.35">
      <c r="A4152" s="790"/>
      <c r="B4152" s="1211"/>
      <c r="C4152" s="1211"/>
      <c r="D4152" s="1211"/>
      <c r="E4152" s="194"/>
      <c r="F4152" s="186"/>
      <c r="G4152" s="186"/>
      <c r="H4152" s="186"/>
      <c r="I4152" s="186"/>
      <c r="J4152" s="186" t="s">
        <v>192</v>
      </c>
      <c r="K4152" s="194">
        <f>AVERAGE(K4150:K4151)</f>
        <v>1.6381800391389432</v>
      </c>
      <c r="L4152" s="186" t="s">
        <v>113</v>
      </c>
      <c r="M4152" s="50"/>
      <c r="O4152" s="5"/>
      <c r="P4152" s="9"/>
      <c r="Q4152" s="34"/>
      <c r="R4152" s="5"/>
      <c r="S4152" s="35"/>
    </row>
    <row r="4153" spans="1:19" ht="30" customHeight="1" thickBot="1" x14ac:dyDescent="0.4">
      <c r="A4153" s="186"/>
      <c r="B4153" s="186"/>
      <c r="C4153" s="503"/>
      <c r="D4153" s="503"/>
      <c r="E4153" s="503"/>
      <c r="F4153" s="503"/>
      <c r="G4153" s="503"/>
      <c r="H4153" s="503"/>
      <c r="I4153" s="503"/>
      <c r="J4153" s="494" t="s">
        <v>37</v>
      </c>
      <c r="K4153" s="193">
        <f>+K4152</f>
        <v>1.6381800391389432</v>
      </c>
      <c r="L4153" s="186" t="s">
        <v>113</v>
      </c>
      <c r="M4153" s="50"/>
      <c r="O4153" s="5"/>
      <c r="P4153" s="9"/>
      <c r="Q4153" s="34"/>
      <c r="R4153" s="5"/>
      <c r="S4153" s="35"/>
    </row>
    <row r="4154" spans="1:19" ht="30" customHeight="1" thickBot="1" x14ac:dyDescent="0.4">
      <c r="A4154" s="1199"/>
      <c r="B4154" s="1200"/>
      <c r="C4154" s="1200"/>
      <c r="D4154" s="1200"/>
      <c r="E4154" s="1200"/>
      <c r="F4154" s="1200"/>
      <c r="G4154" s="1200"/>
      <c r="H4154" s="1200"/>
      <c r="I4154" s="1200"/>
      <c r="J4154" s="1200"/>
      <c r="K4154" s="1200"/>
      <c r="L4154" s="1201"/>
      <c r="M4154" s="96"/>
      <c r="O4154" s="5"/>
      <c r="P4154" s="9"/>
      <c r="Q4154" s="34"/>
      <c r="R4154" s="5"/>
      <c r="S4154" s="35"/>
    </row>
    <row r="4155" spans="1:19" ht="30" customHeight="1" x14ac:dyDescent="0.35">
      <c r="A4155" s="388" t="s">
        <v>1</v>
      </c>
      <c r="B4155" s="389">
        <v>8414</v>
      </c>
      <c r="C4155" s="1205" t="s">
        <v>1800</v>
      </c>
      <c r="D4155" s="1206"/>
      <c r="E4155" s="392" t="s">
        <v>3</v>
      </c>
      <c r="F4155" s="393" t="s">
        <v>1751</v>
      </c>
      <c r="G4155" s="390" t="s">
        <v>38</v>
      </c>
      <c r="H4155" s="132">
        <v>510</v>
      </c>
      <c r="I4155" s="392" t="s">
        <v>5</v>
      </c>
      <c r="J4155" s="1207" t="s">
        <v>390</v>
      </c>
      <c r="K4155" s="1207"/>
      <c r="L4155" s="1208"/>
      <c r="M4155" s="50"/>
      <c r="N4155" s="108"/>
      <c r="O4155" s="5"/>
      <c r="P4155" s="9"/>
      <c r="Q4155" s="34"/>
      <c r="R4155" s="5"/>
      <c r="S4155" s="35"/>
    </row>
    <row r="4156" spans="1:19" ht="30" customHeight="1" x14ac:dyDescent="0.35">
      <c r="A4156" s="494" t="s">
        <v>187</v>
      </c>
      <c r="B4156" s="1280" t="s">
        <v>211</v>
      </c>
      <c r="C4156" s="1281"/>
      <c r="D4156" s="1282"/>
      <c r="E4156" s="566" t="s">
        <v>52</v>
      </c>
      <c r="F4156" s="566" t="s">
        <v>53</v>
      </c>
      <c r="G4156" s="1219" t="s">
        <v>54</v>
      </c>
      <c r="H4156" s="1220"/>
      <c r="I4156" s="185" t="s">
        <v>188</v>
      </c>
      <c r="J4156" s="185"/>
      <c r="K4156" s="1209" t="s">
        <v>180</v>
      </c>
      <c r="L4156" s="1210"/>
      <c r="M4156" s="50"/>
      <c r="O4156" s="5"/>
      <c r="P4156" s="9"/>
      <c r="Q4156" s="34"/>
      <c r="R4156" s="5"/>
      <c r="S4156" s="35"/>
    </row>
    <row r="4157" spans="1:19" ht="30" customHeight="1" x14ac:dyDescent="0.35">
      <c r="A4157" s="186" t="s">
        <v>1119</v>
      </c>
      <c r="B4157" s="1212" t="s">
        <v>1801</v>
      </c>
      <c r="C4157" s="1213"/>
      <c r="D4157" s="1214"/>
      <c r="E4157" s="7">
        <f>200*56</f>
        <v>11200</v>
      </c>
      <c r="F4157" s="422" t="s">
        <v>40</v>
      </c>
      <c r="G4157" s="168">
        <f>+H4155</f>
        <v>510</v>
      </c>
      <c r="H4157" s="1144" t="s">
        <v>1758</v>
      </c>
      <c r="I4157" s="186">
        <v>1.01</v>
      </c>
      <c r="J4157" s="422"/>
      <c r="K4157" s="193">
        <f>+E4157/G4157*I4157</f>
        <v>22.180392156862744</v>
      </c>
      <c r="L4157" s="422" t="s">
        <v>1751</v>
      </c>
      <c r="M4157" s="50"/>
      <c r="O4157" s="5"/>
      <c r="P4157" s="9"/>
      <c r="Q4157" s="34"/>
      <c r="R4157" s="5"/>
      <c r="S4157" s="35"/>
    </row>
    <row r="4158" spans="1:19" ht="30" customHeight="1" x14ac:dyDescent="0.35">
      <c r="A4158" s="186" t="s">
        <v>1802</v>
      </c>
      <c r="B4158" s="1202" t="s">
        <v>1803</v>
      </c>
      <c r="C4158" s="1203"/>
      <c r="D4158" s="1204"/>
      <c r="E4158" s="194">
        <v>14900</v>
      </c>
      <c r="F4158" s="127" t="s">
        <v>40</v>
      </c>
      <c r="G4158" s="155">
        <f>(864*0.75)</f>
        <v>648</v>
      </c>
      <c r="H4158" s="714" t="s">
        <v>1804</v>
      </c>
      <c r="I4158" s="186">
        <v>1.03</v>
      </c>
      <c r="J4158" s="186"/>
      <c r="K4158" s="193">
        <f>+E4158/G4158*I4158</f>
        <v>23.683641975308642</v>
      </c>
      <c r="L4158" s="186" t="s">
        <v>1751</v>
      </c>
      <c r="M4158" s="50"/>
      <c r="O4158" s="5"/>
      <c r="P4158" s="9"/>
      <c r="Q4158" s="34"/>
      <c r="R4158" s="5"/>
      <c r="S4158" s="35"/>
    </row>
    <row r="4159" spans="1:19" ht="30" customHeight="1" x14ac:dyDescent="0.35">
      <c r="A4159" s="790"/>
      <c r="B4159" s="373" t="s">
        <v>1805</v>
      </c>
      <c r="C4159" s="374"/>
      <c r="D4159" s="374"/>
      <c r="E4159" s="374"/>
      <c r="F4159" s="375"/>
      <c r="G4159" s="422"/>
      <c r="H4159" s="422"/>
      <c r="I4159" s="186"/>
      <c r="J4159" s="186" t="s">
        <v>223</v>
      </c>
      <c r="K4159" s="194">
        <f>SUM(K4157:K4158)</f>
        <v>45.864034132171383</v>
      </c>
      <c r="L4159" s="186" t="s">
        <v>1751</v>
      </c>
      <c r="M4159" s="96"/>
      <c r="N4159" s="10"/>
      <c r="O4159" s="5"/>
      <c r="P4159" s="9"/>
      <c r="Q4159" s="34"/>
      <c r="R4159" s="5"/>
      <c r="S4159" s="35"/>
    </row>
    <row r="4160" spans="1:19" ht="30" customHeight="1" x14ac:dyDescent="0.35">
      <c r="A4160" s="186"/>
      <c r="B4160" s="567"/>
      <c r="C4160" s="567"/>
      <c r="D4160" s="567"/>
      <c r="E4160" s="194"/>
      <c r="F4160" s="1215" t="s">
        <v>195</v>
      </c>
      <c r="G4160" s="1273" t="s">
        <v>196</v>
      </c>
      <c r="H4160" s="1273"/>
      <c r="I4160" s="1273"/>
      <c r="J4160" s="1273"/>
      <c r="K4160" s="196">
        <v>1.07</v>
      </c>
      <c r="L4160" s="186"/>
      <c r="M4160" s="50"/>
      <c r="N4160" s="10"/>
      <c r="O4160" s="5"/>
      <c r="P4160" s="9"/>
      <c r="Q4160" s="34"/>
      <c r="R4160" s="5"/>
      <c r="S4160" s="35"/>
    </row>
    <row r="4161" spans="1:23" ht="30" customHeight="1" x14ac:dyDescent="0.35">
      <c r="A4161" s="186"/>
      <c r="B4161" s="567"/>
      <c r="C4161" s="567"/>
      <c r="D4161" s="567"/>
      <c r="E4161" s="194"/>
      <c r="F4161" s="1216"/>
      <c r="G4161" s="1268" t="s">
        <v>276</v>
      </c>
      <c r="H4161" s="1268"/>
      <c r="I4161" s="1268"/>
      <c r="J4161" s="1268"/>
      <c r="K4161" s="196">
        <v>1.08</v>
      </c>
      <c r="L4161" s="186"/>
      <c r="M4161" s="50"/>
      <c r="O4161" s="5"/>
      <c r="P4161" s="9"/>
      <c r="Q4161" s="34"/>
      <c r="R4161" s="5"/>
      <c r="S4161" s="35"/>
    </row>
    <row r="4162" spans="1:23" ht="30" customHeight="1" x14ac:dyDescent="0.35">
      <c r="A4162" s="186"/>
      <c r="B4162" s="186"/>
      <c r="C4162" s="503"/>
      <c r="D4162" s="503"/>
      <c r="E4162" s="503"/>
      <c r="F4162" s="503"/>
      <c r="G4162" s="503"/>
      <c r="H4162" s="503"/>
      <c r="I4162" s="503"/>
      <c r="J4162" s="186" t="s">
        <v>37</v>
      </c>
      <c r="K4162" s="193">
        <f>+K4159*K4160/K4161</f>
        <v>45.439367149466094</v>
      </c>
      <c r="L4162" s="186" t="s">
        <v>1751</v>
      </c>
      <c r="M4162" s="96"/>
      <c r="O4162" s="5"/>
      <c r="P4162" s="9"/>
      <c r="Q4162" s="34"/>
      <c r="R4162" s="5"/>
      <c r="S4162" s="35"/>
    </row>
    <row r="4163" spans="1:23" ht="30" customHeight="1" x14ac:dyDescent="0.35">
      <c r="A4163" s="186"/>
      <c r="B4163" s="186"/>
      <c r="C4163" s="503"/>
      <c r="D4163" s="503"/>
      <c r="E4163" s="503"/>
      <c r="F4163" s="503"/>
      <c r="G4163" s="1374" t="s">
        <v>257</v>
      </c>
      <c r="H4163" s="1375"/>
      <c r="I4163" s="1376"/>
      <c r="J4163" s="560">
        <f>VLOOKUP(B4155,'Mil Cost Premiums for PUCs'!$A$4:$R$285,18,FALSE)</f>
        <v>1.0209999999999999</v>
      </c>
      <c r="K4163" s="193">
        <f>+K4162*J4163</f>
        <v>46.393593859604877</v>
      </c>
      <c r="L4163" s="186" t="s">
        <v>1751</v>
      </c>
      <c r="M4163" s="50"/>
      <c r="N4163" s="50"/>
      <c r="O4163" s="5"/>
      <c r="P4163" s="9"/>
      <c r="Q4163" s="34"/>
      <c r="R4163" s="5"/>
      <c r="S4163" s="35"/>
    </row>
    <row r="4164" spans="1:23" ht="30" customHeight="1" x14ac:dyDescent="0.35">
      <c r="A4164" s="904"/>
      <c r="B4164" s="904"/>
      <c r="C4164" s="905"/>
      <c r="D4164" s="905"/>
      <c r="E4164" s="905"/>
      <c r="F4164" s="1415" t="s">
        <v>277</v>
      </c>
      <c r="G4164" s="1415"/>
      <c r="H4164" s="1415"/>
      <c r="I4164" s="1415"/>
      <c r="J4164" s="1086">
        <v>1.0833999999999999</v>
      </c>
      <c r="K4164" s="1087">
        <f>K4163*J4164</f>
        <v>50.262819587495919</v>
      </c>
      <c r="L4164" s="186" t="s">
        <v>1751</v>
      </c>
      <c r="M4164" s="50"/>
      <c r="O4164" s="5"/>
      <c r="P4164" s="9"/>
      <c r="Q4164" s="34"/>
      <c r="R4164" s="5"/>
      <c r="S4164" s="35"/>
    </row>
    <row r="4165" spans="1:23" ht="30" customHeight="1" x14ac:dyDescent="0.35">
      <c r="A4165" s="569"/>
      <c r="B4165" s="569"/>
      <c r="C4165" s="510"/>
      <c r="D4165" s="510"/>
      <c r="E4165" s="510"/>
      <c r="F4165" s="510"/>
      <c r="G4165" s="1737" t="s">
        <v>2817</v>
      </c>
      <c r="H4165" s="1738"/>
      <c r="I4165" s="1739"/>
      <c r="J4165" s="570">
        <v>1.1214</v>
      </c>
      <c r="K4165" s="285">
        <f>+K4164*J4165</f>
        <v>56.364725885417919</v>
      </c>
      <c r="L4165" s="186" t="s">
        <v>1751</v>
      </c>
      <c r="M4165" s="50"/>
      <c r="O4165" s="5"/>
      <c r="P4165" s="9"/>
      <c r="Q4165" s="34"/>
      <c r="R4165" s="5"/>
      <c r="S4165" s="35"/>
    </row>
    <row r="4166" spans="1:23" ht="30" customHeight="1" thickBot="1" x14ac:dyDescent="0.4">
      <c r="A4166" s="569"/>
      <c r="B4166" s="569"/>
      <c r="C4166" s="510"/>
      <c r="D4166" s="510"/>
      <c r="E4166" s="510"/>
      <c r="F4166" s="510"/>
      <c r="G4166" s="1191" t="s">
        <v>3000</v>
      </c>
      <c r="H4166" s="1192"/>
      <c r="I4166" s="1193"/>
      <c r="J4166" s="570">
        <v>1.0438745311870361</v>
      </c>
      <c r="K4166" s="285">
        <f>+K4165*J4166</f>
        <v>58.837701809126429</v>
      </c>
      <c r="L4166" s="186" t="s">
        <v>1751</v>
      </c>
      <c r="M4166" s="50"/>
      <c r="O4166" s="5"/>
      <c r="P4166" s="9"/>
      <c r="Q4166" s="34"/>
      <c r="R4166" s="5"/>
      <c r="S4166" s="35"/>
    </row>
    <row r="4167" spans="1:23" ht="30" customHeight="1" thickBot="1" x14ac:dyDescent="0.4">
      <c r="A4167" s="1199"/>
      <c r="B4167" s="1200"/>
      <c r="C4167" s="1200"/>
      <c r="D4167" s="1200"/>
      <c r="E4167" s="1200"/>
      <c r="F4167" s="1200"/>
      <c r="G4167" s="1200"/>
      <c r="H4167" s="1200"/>
      <c r="I4167" s="1200"/>
      <c r="J4167" s="1200"/>
      <c r="K4167" s="1200"/>
      <c r="L4167" s="1201"/>
      <c r="O4167" s="5"/>
      <c r="P4167" s="9"/>
      <c r="Q4167" s="34"/>
      <c r="R4167" s="5"/>
      <c r="S4167" s="35"/>
    </row>
    <row r="4168" spans="1:23" ht="30" customHeight="1" x14ac:dyDescent="0.35">
      <c r="A4168" s="442" t="s">
        <v>1</v>
      </c>
      <c r="B4168" s="442">
        <v>8415</v>
      </c>
      <c r="C4168" s="1398" t="s">
        <v>1806</v>
      </c>
      <c r="D4168" s="1398"/>
      <c r="E4168" s="443" t="s">
        <v>3</v>
      </c>
      <c r="F4168" s="444" t="s">
        <v>1751</v>
      </c>
      <c r="G4168" s="445" t="s">
        <v>38</v>
      </c>
      <c r="H4168" s="262">
        <v>565</v>
      </c>
      <c r="I4168" s="443" t="s">
        <v>5</v>
      </c>
      <c r="J4168" s="1466" t="s">
        <v>2916</v>
      </c>
      <c r="K4168" s="1466"/>
      <c r="L4168" s="1466"/>
      <c r="M4168" s="97"/>
      <c r="O4168" s="5"/>
      <c r="P4168" s="9"/>
      <c r="Q4168" s="34"/>
      <c r="R4168" s="5"/>
      <c r="S4168" s="35"/>
    </row>
    <row r="4169" spans="1:23" ht="30" customHeight="1" x14ac:dyDescent="0.35">
      <c r="A4169" s="448" t="s">
        <v>187</v>
      </c>
      <c r="B4169" s="1248" t="s">
        <v>7</v>
      </c>
      <c r="C4169" s="1248"/>
      <c r="D4169" s="1248"/>
      <c r="E4169" s="1145" t="s">
        <v>178</v>
      </c>
      <c r="F4169" s="446" t="s">
        <v>52</v>
      </c>
      <c r="G4169" s="1294" t="s">
        <v>54</v>
      </c>
      <c r="H4169" s="1294"/>
      <c r="I4169" s="1399" t="s">
        <v>179</v>
      </c>
      <c r="J4169" s="1399"/>
      <c r="K4169" s="1294" t="s">
        <v>180</v>
      </c>
      <c r="L4169" s="1294"/>
      <c r="M4169" s="96"/>
      <c r="O4169" s="5"/>
      <c r="P4169" s="9"/>
      <c r="Q4169" s="34"/>
      <c r="R4169" s="5"/>
      <c r="S4169" s="35"/>
    </row>
    <row r="4170" spans="1:23" ht="30" customHeight="1" x14ac:dyDescent="0.35">
      <c r="A4170" s="602"/>
      <c r="B4170" s="1558" t="s">
        <v>2956</v>
      </c>
      <c r="C4170" s="1558"/>
      <c r="D4170" s="1558"/>
      <c r="E4170" s="595" t="s">
        <v>2955</v>
      </c>
      <c r="F4170" s="1146">
        <v>15000000</v>
      </c>
      <c r="G4170" s="155">
        <v>5000</v>
      </c>
      <c r="H4170" s="301" t="s">
        <v>2958</v>
      </c>
      <c r="I4170" s="1563">
        <v>1</v>
      </c>
      <c r="J4170" s="1563"/>
      <c r="K4170" s="1147">
        <f>+F4170/G4170*I4170</f>
        <v>3000</v>
      </c>
      <c r="L4170" s="420" t="s">
        <v>1751</v>
      </c>
      <c r="M4170" s="96"/>
      <c r="N4170" s="50"/>
      <c r="O4170" s="5"/>
      <c r="P4170" s="9"/>
      <c r="Q4170" s="34"/>
      <c r="R4170" s="5"/>
      <c r="S4170" s="35"/>
    </row>
    <row r="4171" spans="1:23" ht="30" customHeight="1" x14ac:dyDescent="0.35">
      <c r="A4171" s="602"/>
      <c r="B4171" s="1558" t="s">
        <v>2960</v>
      </c>
      <c r="C4171" s="1558"/>
      <c r="D4171" s="1558"/>
      <c r="E4171" s="595" t="s">
        <v>2957</v>
      </c>
      <c r="F4171" s="1146">
        <v>13900000</v>
      </c>
      <c r="G4171" s="155">
        <v>500</v>
      </c>
      <c r="H4171" s="301" t="s">
        <v>2959</v>
      </c>
      <c r="I4171" s="1563">
        <f>+'FY2024 MILCON Inflation Table'!F8</f>
        <v>1.7467053391350638</v>
      </c>
      <c r="J4171" s="1563"/>
      <c r="K4171" s="1147">
        <f>+F4171/G4171*I4171</f>
        <v>48558.408427954775</v>
      </c>
      <c r="L4171" s="420" t="s">
        <v>1751</v>
      </c>
      <c r="M4171" s="96"/>
      <c r="O4171" s="5"/>
      <c r="Q4171" s="34"/>
      <c r="R4171" s="5"/>
      <c r="S4171" s="35"/>
      <c r="U4171" s="10"/>
    </row>
    <row r="4172" spans="1:23" ht="30" customHeight="1" x14ac:dyDescent="0.35">
      <c r="A4172" s="602"/>
      <c r="B4172" s="1558" t="s">
        <v>2961</v>
      </c>
      <c r="C4172" s="1558"/>
      <c r="D4172" s="1558"/>
      <c r="E4172" s="595" t="s">
        <v>2962</v>
      </c>
      <c r="F4172" s="1146">
        <v>80000000</v>
      </c>
      <c r="G4172" s="372">
        <v>10000</v>
      </c>
      <c r="H4172" s="301" t="s">
        <v>2963</v>
      </c>
      <c r="I4172" s="1563">
        <f>+'FY2024 MILCON Inflation Table'!F18</f>
        <v>1.1706170972389343</v>
      </c>
      <c r="J4172" s="1563"/>
      <c r="K4172" s="1147">
        <f>+F4172/G4172*I4172</f>
        <v>9364.9367779114746</v>
      </c>
      <c r="L4172" s="420" t="s">
        <v>1751</v>
      </c>
      <c r="M4172" s="96"/>
      <c r="N4172" s="10"/>
      <c r="O4172" s="15"/>
      <c r="Q4172" s="34"/>
      <c r="R4172" s="5"/>
      <c r="S4172" s="35"/>
      <c r="U4172" s="10"/>
    </row>
    <row r="4173" spans="1:23" ht="30" customHeight="1" x14ac:dyDescent="0.35">
      <c r="A4173" s="602"/>
      <c r="B4173" s="792"/>
      <c r="C4173" s="792"/>
      <c r="D4173" s="792"/>
      <c r="E4173" s="447"/>
      <c r="F4173" s="595"/>
      <c r="G4173" s="420"/>
      <c r="H4173" s="371"/>
      <c r="I4173" s="595"/>
      <c r="J4173" s="595" t="s">
        <v>2551</v>
      </c>
      <c r="K4173" s="1148">
        <f>AVERAGE(K4170:K4172)</f>
        <v>20307.78173528875</v>
      </c>
      <c r="L4173" s="420" t="s">
        <v>1751</v>
      </c>
      <c r="M4173" s="96"/>
      <c r="N4173" s="10"/>
      <c r="O4173" s="5"/>
      <c r="P4173" s="384"/>
      <c r="Q4173" s="34"/>
      <c r="R4173" s="5"/>
      <c r="S4173" s="35"/>
      <c r="U4173" s="396"/>
      <c r="V4173" s="396"/>
      <c r="W4173" s="396"/>
    </row>
    <row r="4174" spans="1:23" ht="30" customHeight="1" thickBot="1" x14ac:dyDescent="0.4">
      <c r="A4174" s="602"/>
      <c r="B4174" s="792"/>
      <c r="C4174" s="792"/>
      <c r="D4174" s="792"/>
      <c r="E4174" s="447"/>
      <c r="F4174" s="446"/>
      <c r="G4174" s="1198" t="s">
        <v>257</v>
      </c>
      <c r="H4174" s="1198"/>
      <c r="I4174" s="1198"/>
      <c r="J4174" s="885">
        <f>VLOOKUP(B4168,'Mil Cost Premiums for PUCs'!$A$4:$R$285,18,FALSE)</f>
        <v>1.1199953840399997</v>
      </c>
      <c r="K4174" s="272">
        <f>+K4173*J4174</f>
        <v>22744.621803615213</v>
      </c>
      <c r="L4174" s="271" t="s">
        <v>1751</v>
      </c>
      <c r="M4174" s="96"/>
      <c r="O4174" s="5"/>
      <c r="T4174" s="10"/>
    </row>
    <row r="4175" spans="1:23" ht="30" customHeight="1" thickBot="1" x14ac:dyDescent="0.4">
      <c r="A4175" s="1199"/>
      <c r="B4175" s="1200"/>
      <c r="C4175" s="1200"/>
      <c r="D4175" s="1200"/>
      <c r="E4175" s="1200"/>
      <c r="F4175" s="1200"/>
      <c r="G4175" s="1200"/>
      <c r="H4175" s="1200"/>
      <c r="I4175" s="1200"/>
      <c r="J4175" s="1200"/>
      <c r="K4175" s="1200"/>
      <c r="L4175" s="1201"/>
      <c r="M4175" s="50"/>
      <c r="O4175" s="5"/>
      <c r="T4175" s="10"/>
    </row>
    <row r="4176" spans="1:23" ht="30" customHeight="1" x14ac:dyDescent="0.35">
      <c r="A4176" s="388" t="s">
        <v>1</v>
      </c>
      <c r="B4176" s="389">
        <v>8421</v>
      </c>
      <c r="C4176" s="1648" t="s">
        <v>1807</v>
      </c>
      <c r="D4176" s="1649"/>
      <c r="E4176" s="392" t="s">
        <v>3</v>
      </c>
      <c r="F4176" s="393" t="s">
        <v>28</v>
      </c>
      <c r="G4176" s="390" t="s">
        <v>38</v>
      </c>
      <c r="H4176" s="132">
        <v>15256.157667076001</v>
      </c>
      <c r="I4176" s="392" t="s">
        <v>5</v>
      </c>
      <c r="J4176" s="1207" t="s">
        <v>2538</v>
      </c>
      <c r="K4176" s="1207"/>
      <c r="L4176" s="1208"/>
      <c r="M4176" s="96"/>
      <c r="P4176" s="9"/>
    </row>
    <row r="4177" spans="1:19" ht="30" customHeight="1" x14ac:dyDescent="0.35">
      <c r="A4177" s="185" t="s">
        <v>177</v>
      </c>
      <c r="B4177" s="1272" t="s">
        <v>7</v>
      </c>
      <c r="C4177" s="1272"/>
      <c r="D4177" s="1272"/>
      <c r="E4177" s="397" t="s">
        <v>52</v>
      </c>
      <c r="F4177" s="566" t="s">
        <v>53</v>
      </c>
      <c r="G4177" s="1292" t="s">
        <v>54</v>
      </c>
      <c r="H4177" s="1293"/>
      <c r="I4177" s="1221" t="s">
        <v>179</v>
      </c>
      <c r="J4177" s="1222"/>
      <c r="K4177" s="399" t="s">
        <v>180</v>
      </c>
      <c r="L4177" s="400"/>
      <c r="M4177" s="96"/>
      <c r="P4177" s="9"/>
    </row>
    <row r="4178" spans="1:19" ht="30" customHeight="1" x14ac:dyDescent="0.35">
      <c r="A4178" s="186">
        <v>84210</v>
      </c>
      <c r="B4178" s="1212" t="s">
        <v>2601</v>
      </c>
      <c r="C4178" s="1213"/>
      <c r="D4178" s="1214"/>
      <c r="E4178" s="267">
        <v>306.62</v>
      </c>
      <c r="F4178" s="203" t="s">
        <v>28</v>
      </c>
      <c r="G4178" s="788"/>
      <c r="H4178" s="136"/>
      <c r="I4178" s="1307">
        <f>+'FY2024 MILCON Inflation Table'!F22</f>
        <v>0.95834826759383673</v>
      </c>
      <c r="J4178" s="1308"/>
      <c r="K4178" s="199">
        <f>+E4178*I4178</f>
        <v>293.84874580962224</v>
      </c>
      <c r="L4178" s="401" t="s">
        <v>28</v>
      </c>
      <c r="M4178" s="50"/>
      <c r="P4178" s="9"/>
    </row>
    <row r="4179" spans="1:19" ht="30" customHeight="1" x14ac:dyDescent="0.35">
      <c r="A4179" s="186">
        <v>84210</v>
      </c>
      <c r="B4179" s="1212" t="s">
        <v>2602</v>
      </c>
      <c r="C4179" s="1213"/>
      <c r="D4179" s="1214"/>
      <c r="E4179" s="309">
        <v>247.96</v>
      </c>
      <c r="F4179" s="203" t="s">
        <v>28</v>
      </c>
      <c r="G4179" s="19"/>
      <c r="H4179" s="708"/>
      <c r="I4179" s="1307">
        <f>+I4178</f>
        <v>0.95834826759383673</v>
      </c>
      <c r="J4179" s="1308"/>
      <c r="K4179" s="199">
        <f>+E4179*I4179</f>
        <v>237.63203643256776</v>
      </c>
      <c r="L4179" s="401" t="s">
        <v>28</v>
      </c>
      <c r="M4179" s="50"/>
      <c r="N4179" s="50"/>
      <c r="P4179" s="9"/>
    </row>
    <row r="4180" spans="1:19" ht="30" customHeight="1" x14ac:dyDescent="0.35">
      <c r="A4180" s="186">
        <v>84210</v>
      </c>
      <c r="B4180" s="1212" t="s">
        <v>2603</v>
      </c>
      <c r="C4180" s="1213"/>
      <c r="D4180" s="1214"/>
      <c r="E4180" s="309">
        <v>89.57</v>
      </c>
      <c r="F4180" s="422" t="s">
        <v>28</v>
      </c>
      <c r="G4180" s="19"/>
      <c r="H4180" s="708"/>
      <c r="I4180" s="1307">
        <f>+I4179</f>
        <v>0.95834826759383673</v>
      </c>
      <c r="J4180" s="1308"/>
      <c r="K4180" s="199">
        <f>+E4180*I4180</f>
        <v>85.839254328379951</v>
      </c>
      <c r="L4180" s="401" t="s">
        <v>28</v>
      </c>
      <c r="M4180" s="50"/>
      <c r="P4180" s="9"/>
    </row>
    <row r="4181" spans="1:19" ht="30" customHeight="1" x14ac:dyDescent="0.35">
      <c r="A4181" s="186"/>
      <c r="B4181" s="1202"/>
      <c r="C4181" s="1203"/>
      <c r="D4181" s="1204"/>
      <c r="E4181" s="7"/>
      <c r="F4181" s="422"/>
      <c r="I4181" s="186"/>
      <c r="J4181" s="422" t="s">
        <v>2551</v>
      </c>
      <c r="K4181" s="190">
        <f>AVERAGE(K4178:K4180)</f>
        <v>205.77334552352332</v>
      </c>
      <c r="L4181" s="422" t="s">
        <v>28</v>
      </c>
      <c r="M4181" s="539"/>
      <c r="N4181" s="110"/>
      <c r="P4181" s="9"/>
    </row>
    <row r="4182" spans="1:19" ht="30" customHeight="1" thickBot="1" x14ac:dyDescent="0.4">
      <c r="A4182" s="186"/>
      <c r="B4182" s="373"/>
      <c r="C4182" s="374"/>
      <c r="D4182" s="375"/>
      <c r="E4182" s="7"/>
      <c r="F4182" s="422"/>
      <c r="G4182" s="1464"/>
      <c r="H4182" s="1465"/>
      <c r="I4182" s="186"/>
      <c r="J4182" s="494" t="s">
        <v>37</v>
      </c>
      <c r="K4182" s="190">
        <f>+K4181</f>
        <v>205.77334552352332</v>
      </c>
      <c r="L4182" s="422" t="s">
        <v>28</v>
      </c>
      <c r="M4182" s="50"/>
      <c r="P4182" s="9"/>
    </row>
    <row r="4183" spans="1:19" ht="30" customHeight="1" thickBot="1" x14ac:dyDescent="0.4">
      <c r="A4183" s="1199"/>
      <c r="B4183" s="1200"/>
      <c r="C4183" s="1200"/>
      <c r="D4183" s="1200"/>
      <c r="E4183" s="1200"/>
      <c r="F4183" s="1200"/>
      <c r="G4183" s="1200"/>
      <c r="H4183" s="1200"/>
      <c r="I4183" s="1200"/>
      <c r="J4183" s="1200"/>
      <c r="K4183" s="1200"/>
      <c r="L4183" s="1201"/>
      <c r="P4183" s="9"/>
    </row>
    <row r="4184" spans="1:19" ht="30" customHeight="1" x14ac:dyDescent="0.35">
      <c r="A4184" s="388" t="s">
        <v>1</v>
      </c>
      <c r="B4184" s="389">
        <v>8422</v>
      </c>
      <c r="C4184" s="1290" t="s">
        <v>1808</v>
      </c>
      <c r="D4184" s="1291"/>
      <c r="E4184" s="392" t="s">
        <v>3</v>
      </c>
      <c r="F4184" s="393" t="s">
        <v>1751</v>
      </c>
      <c r="G4184" s="390" t="s">
        <v>38</v>
      </c>
      <c r="H4184" s="135">
        <v>7427.7039338555196</v>
      </c>
      <c r="I4184" s="392" t="s">
        <v>5</v>
      </c>
      <c r="J4184" s="1207" t="s">
        <v>2538</v>
      </c>
      <c r="K4184" s="1207"/>
      <c r="L4184" s="1208"/>
      <c r="M4184" s="98"/>
      <c r="P4184" s="9"/>
    </row>
    <row r="4185" spans="1:19" ht="30" customHeight="1" x14ac:dyDescent="0.35">
      <c r="A4185" s="185" t="s">
        <v>177</v>
      </c>
      <c r="B4185" s="1272" t="s">
        <v>7</v>
      </c>
      <c r="C4185" s="1272"/>
      <c r="D4185" s="1272"/>
      <c r="E4185" s="397" t="s">
        <v>1605</v>
      </c>
      <c r="F4185" s="185" t="s">
        <v>1809</v>
      </c>
      <c r="G4185" s="1292" t="s">
        <v>54</v>
      </c>
      <c r="H4185" s="1293"/>
      <c r="I4185" s="1221" t="s">
        <v>179</v>
      </c>
      <c r="J4185" s="1222"/>
      <c r="K4185" s="399" t="s">
        <v>180</v>
      </c>
      <c r="L4185" s="400"/>
      <c r="M4185" s="163"/>
      <c r="N4185" s="50"/>
      <c r="O4185" s="5"/>
      <c r="P4185" s="9"/>
      <c r="Q4185" s="34"/>
      <c r="R4185" s="5"/>
      <c r="S4185" s="35"/>
    </row>
    <row r="4186" spans="1:19" ht="30" customHeight="1" x14ac:dyDescent="0.35">
      <c r="A4186" s="186">
        <v>84472</v>
      </c>
      <c r="B4186" s="1212" t="s">
        <v>2606</v>
      </c>
      <c r="C4186" s="1213"/>
      <c r="D4186" s="1214"/>
      <c r="E4186" s="267">
        <v>234643.59</v>
      </c>
      <c r="F4186" s="203">
        <v>2000</v>
      </c>
      <c r="G4186" s="1149">
        <v>2880</v>
      </c>
      <c r="H4186" s="136" t="s">
        <v>1810</v>
      </c>
      <c r="I4186" s="1307">
        <f>+'FY2024 MILCON Inflation Table'!F22</f>
        <v>0.95834826759383673</v>
      </c>
      <c r="J4186" s="1308"/>
      <c r="K4186" s="199">
        <f>E4186/G4186*I4186</f>
        <v>78.079957631423085</v>
      </c>
      <c r="L4186" s="186" t="s">
        <v>1751</v>
      </c>
      <c r="M4186" s="10"/>
      <c r="N4186" s="10"/>
      <c r="O4186" s="5"/>
      <c r="P4186" s="9"/>
      <c r="Q4186" s="34"/>
      <c r="R4186" s="5"/>
      <c r="S4186" s="35"/>
    </row>
    <row r="4187" spans="1:19" ht="30" customHeight="1" x14ac:dyDescent="0.35">
      <c r="A4187" s="186">
        <v>84472</v>
      </c>
      <c r="B4187" s="1212" t="s">
        <v>2607</v>
      </c>
      <c r="C4187" s="1213"/>
      <c r="D4187" s="1214"/>
      <c r="E4187" s="267">
        <v>347917.65</v>
      </c>
      <c r="F4187" s="203">
        <v>2500</v>
      </c>
      <c r="G4187" s="1150">
        <v>3600</v>
      </c>
      <c r="H4187" s="136" t="s">
        <v>2609</v>
      </c>
      <c r="I4187" s="1307">
        <f>+I4186</f>
        <v>0.95834826759383673</v>
      </c>
      <c r="J4187" s="1308"/>
      <c r="K4187" s="199">
        <f>E4187/G4187*I4187</f>
        <v>92.618410317449687</v>
      </c>
      <c r="L4187" s="186" t="s">
        <v>1751</v>
      </c>
      <c r="N4187" s="10"/>
      <c r="O4187" s="5"/>
      <c r="P4187" s="9"/>
      <c r="Q4187" s="34"/>
      <c r="R4187" s="5"/>
      <c r="S4187" s="35"/>
    </row>
    <row r="4188" spans="1:19" ht="30" customHeight="1" x14ac:dyDescent="0.35">
      <c r="A4188" s="186">
        <v>84472</v>
      </c>
      <c r="B4188" s="1212" t="s">
        <v>2605</v>
      </c>
      <c r="C4188" s="1213"/>
      <c r="D4188" s="1214"/>
      <c r="E4188" s="267">
        <v>138148.78</v>
      </c>
      <c r="F4188" s="203">
        <v>2000</v>
      </c>
      <c r="G4188" s="1149">
        <v>2880</v>
      </c>
      <c r="H4188" s="136" t="s">
        <v>1810</v>
      </c>
      <c r="I4188" s="1307">
        <f>+I4186</f>
        <v>0.95834826759383673</v>
      </c>
      <c r="J4188" s="1308"/>
      <c r="K4188" s="199">
        <f>E4188/G4188*I4188</f>
        <v>45.970362494167389</v>
      </c>
      <c r="L4188" s="186" t="s">
        <v>1751</v>
      </c>
      <c r="O4188" s="5"/>
      <c r="P4188" s="9"/>
      <c r="Q4188" s="34"/>
      <c r="R4188" s="5"/>
      <c r="S4188" s="35"/>
    </row>
    <row r="4189" spans="1:19" ht="30" customHeight="1" x14ac:dyDescent="0.35">
      <c r="A4189" s="186"/>
      <c r="B4189" s="373"/>
      <c r="C4189" s="374"/>
      <c r="D4189" s="375"/>
      <c r="E4189" s="129"/>
      <c r="F4189" s="143">
        <f>AVERAGE(F4186:F4188)</f>
        <v>2166.6666666666665</v>
      </c>
      <c r="G4189" s="716"/>
      <c r="H4189" s="136"/>
      <c r="I4189" s="751"/>
      <c r="J4189" s="714" t="s">
        <v>192</v>
      </c>
      <c r="K4189" s="199">
        <f>AVERAGE(K4186:K4188)</f>
        <v>72.222910147680054</v>
      </c>
      <c r="L4189" s="186" t="s">
        <v>1751</v>
      </c>
      <c r="O4189" s="5"/>
      <c r="P4189" s="9"/>
      <c r="Q4189" s="34"/>
      <c r="R4189" s="5"/>
      <c r="S4189" s="35"/>
    </row>
    <row r="4190" spans="1:19" ht="30" customHeight="1" thickBot="1" x14ac:dyDescent="0.4">
      <c r="A4190" s="186"/>
      <c r="B4190" s="1202" t="s">
        <v>2608</v>
      </c>
      <c r="C4190" s="1203"/>
      <c r="D4190" s="1204"/>
      <c r="E4190" s="520"/>
      <c r="F4190" s="784"/>
      <c r="G4190" s="520"/>
      <c r="H4190" s="750"/>
      <c r="I4190" s="503"/>
      <c r="J4190" s="494" t="s">
        <v>37</v>
      </c>
      <c r="K4190" s="199">
        <f>+K4189</f>
        <v>72.222910147680054</v>
      </c>
      <c r="L4190" s="186" t="s">
        <v>1751</v>
      </c>
      <c r="O4190" s="5"/>
      <c r="P4190" s="9"/>
      <c r="Q4190" s="34"/>
      <c r="R4190" s="5"/>
      <c r="S4190" s="35"/>
    </row>
    <row r="4191" spans="1:19" ht="30" customHeight="1" thickBot="1" x14ac:dyDescent="0.4">
      <c r="A4191" s="1199"/>
      <c r="B4191" s="1200"/>
      <c r="C4191" s="1200"/>
      <c r="D4191" s="1200"/>
      <c r="E4191" s="1200"/>
      <c r="F4191" s="1200"/>
      <c r="G4191" s="1200"/>
      <c r="H4191" s="1200"/>
      <c r="I4191" s="1200"/>
      <c r="J4191" s="1200"/>
      <c r="K4191" s="1200"/>
      <c r="L4191" s="1201"/>
      <c r="M4191" s="50"/>
      <c r="O4191" s="5"/>
      <c r="P4191" s="9"/>
      <c r="Q4191" s="34"/>
      <c r="R4191" s="5"/>
      <c r="S4191" s="35"/>
    </row>
    <row r="4192" spans="1:19" ht="30" customHeight="1" x14ac:dyDescent="0.35">
      <c r="A4192" s="388" t="s">
        <v>1</v>
      </c>
      <c r="B4192" s="389">
        <v>8431</v>
      </c>
      <c r="C4192" s="1290" t="s">
        <v>1811</v>
      </c>
      <c r="D4192" s="1291"/>
      <c r="E4192" s="392" t="s">
        <v>3</v>
      </c>
      <c r="F4192" s="393" t="s">
        <v>163</v>
      </c>
      <c r="G4192" s="390" t="s">
        <v>38</v>
      </c>
      <c r="H4192" s="135">
        <v>731.6</v>
      </c>
      <c r="I4192" s="392" t="s">
        <v>5</v>
      </c>
      <c r="J4192" s="1207" t="s">
        <v>2538</v>
      </c>
      <c r="K4192" s="1207"/>
      <c r="L4192" s="1208"/>
      <c r="M4192" s="98"/>
      <c r="O4192" s="5"/>
      <c r="P4192" s="9"/>
      <c r="Q4192" s="34"/>
      <c r="R4192" s="5"/>
      <c r="S4192" s="35"/>
    </row>
    <row r="4193" spans="1:21" ht="30" customHeight="1" x14ac:dyDescent="0.35">
      <c r="A4193" s="185" t="s">
        <v>177</v>
      </c>
      <c r="B4193" s="1272" t="s">
        <v>7</v>
      </c>
      <c r="C4193" s="1272"/>
      <c r="D4193" s="1272"/>
      <c r="E4193" s="397" t="s">
        <v>1605</v>
      </c>
      <c r="F4193" s="185" t="s">
        <v>1809</v>
      </c>
      <c r="G4193" s="1292" t="s">
        <v>54</v>
      </c>
      <c r="H4193" s="1293"/>
      <c r="I4193" s="1221" t="s">
        <v>179</v>
      </c>
      <c r="J4193" s="1222"/>
      <c r="K4193" s="1209" t="s">
        <v>180</v>
      </c>
      <c r="L4193" s="1210"/>
      <c r="M4193" s="98"/>
      <c r="O4193" s="5"/>
      <c r="P4193" s="9"/>
      <c r="Q4193" s="34"/>
      <c r="R4193" s="5"/>
      <c r="S4193" s="35"/>
    </row>
    <row r="4194" spans="1:21" ht="30" customHeight="1" x14ac:dyDescent="0.35">
      <c r="A4194" s="186">
        <v>84472</v>
      </c>
      <c r="B4194" s="1212" t="s">
        <v>1812</v>
      </c>
      <c r="C4194" s="1213"/>
      <c r="D4194" s="1214"/>
      <c r="E4194" s="193">
        <v>202502.21</v>
      </c>
      <c r="F4194" s="203">
        <v>500</v>
      </c>
      <c r="G4194" s="343">
        <v>500</v>
      </c>
      <c r="H4194" s="136" t="s">
        <v>1813</v>
      </c>
      <c r="I4194" s="1307">
        <f>+'FY2024 MILCON Inflation Table'!F22</f>
        <v>0.95834826759383673</v>
      </c>
      <c r="J4194" s="1308"/>
      <c r="K4194" s="199">
        <f>+E4194/F4194*I4194</f>
        <v>388.13528427484664</v>
      </c>
      <c r="L4194" s="186" t="s">
        <v>163</v>
      </c>
      <c r="O4194" s="5"/>
      <c r="P4194" s="9"/>
      <c r="Q4194" s="34"/>
      <c r="R4194" s="5"/>
      <c r="S4194" s="35"/>
    </row>
    <row r="4195" spans="1:21" ht="30" customHeight="1" x14ac:dyDescent="0.35">
      <c r="A4195" s="186">
        <v>84472</v>
      </c>
      <c r="B4195" s="1212" t="s">
        <v>1814</v>
      </c>
      <c r="C4195" s="1213"/>
      <c r="D4195" s="1214"/>
      <c r="E4195" s="193">
        <v>215066.64</v>
      </c>
      <c r="F4195" s="203">
        <v>1000</v>
      </c>
      <c r="G4195" s="223">
        <v>1000</v>
      </c>
      <c r="H4195" s="136" t="s">
        <v>1813</v>
      </c>
      <c r="I4195" s="1307">
        <f>+I4194</f>
        <v>0.95834826759383673</v>
      </c>
      <c r="J4195" s="1308"/>
      <c r="K4195" s="199">
        <f>+E4195/F4195*I4195</f>
        <v>206.10874186122734</v>
      </c>
      <c r="L4195" s="186" t="s">
        <v>163</v>
      </c>
      <c r="P4195" s="9"/>
      <c r="Q4195" s="34"/>
      <c r="R4195" s="5"/>
      <c r="S4195" s="35"/>
    </row>
    <row r="4196" spans="1:21" ht="30" customHeight="1" x14ac:dyDescent="0.35">
      <c r="A4196" s="186">
        <v>84472</v>
      </c>
      <c r="B4196" s="1212" t="s">
        <v>1815</v>
      </c>
      <c r="C4196" s="1213"/>
      <c r="D4196" s="1214"/>
      <c r="E4196" s="193">
        <v>234643.59</v>
      </c>
      <c r="F4196" s="203">
        <v>2000</v>
      </c>
      <c r="G4196" s="343">
        <v>2000</v>
      </c>
      <c r="H4196" s="136" t="s">
        <v>1813</v>
      </c>
      <c r="I4196" s="1307">
        <f>+I4194</f>
        <v>0.95834826759383673</v>
      </c>
      <c r="J4196" s="1308"/>
      <c r="K4196" s="199">
        <f>+E4196/F4196*I4196</f>
        <v>112.43513898924925</v>
      </c>
      <c r="L4196" s="186" t="s">
        <v>163</v>
      </c>
      <c r="O4196" s="5"/>
      <c r="P4196" s="9"/>
      <c r="Q4196" s="34"/>
      <c r="R4196" s="5"/>
      <c r="S4196" s="35"/>
    </row>
    <row r="4197" spans="1:21" ht="30" customHeight="1" x14ac:dyDescent="0.35">
      <c r="A4197" s="186">
        <v>84472</v>
      </c>
      <c r="B4197" s="1212" t="s">
        <v>2604</v>
      </c>
      <c r="C4197" s="1213"/>
      <c r="D4197" s="1214"/>
      <c r="E4197" s="193">
        <v>103213.95</v>
      </c>
      <c r="F4197" s="203">
        <v>1000</v>
      </c>
      <c r="G4197" s="343">
        <v>1000</v>
      </c>
      <c r="H4197" s="136" t="s">
        <v>1813</v>
      </c>
      <c r="I4197" s="1307">
        <f>+I4194</f>
        <v>0.95834826759383673</v>
      </c>
      <c r="J4197" s="1308"/>
      <c r="K4197" s="199">
        <f>+E4197/F4197*I4197</f>
        <v>98.914910174016882</v>
      </c>
      <c r="L4197" s="186" t="s">
        <v>163</v>
      </c>
      <c r="O4197" s="5"/>
      <c r="P4197" s="9"/>
      <c r="Q4197" s="34"/>
      <c r="R4197" s="5"/>
      <c r="S4197" s="35"/>
    </row>
    <row r="4198" spans="1:21" ht="30" customHeight="1" thickBot="1" x14ac:dyDescent="0.4">
      <c r="A4198" s="186"/>
      <c r="B4198" s="1202"/>
      <c r="C4198" s="1203"/>
      <c r="D4198" s="1204"/>
      <c r="E4198" s="520"/>
      <c r="F4198" s="784"/>
      <c r="G4198" s="520"/>
      <c r="H4198" s="750" t="s">
        <v>192</v>
      </c>
      <c r="I4198" s="503"/>
      <c r="J4198" s="494" t="s">
        <v>37</v>
      </c>
      <c r="K4198" s="190">
        <f>AVERAGE(K4194:K4197)</f>
        <v>201.39851882483504</v>
      </c>
      <c r="L4198" s="186" t="s">
        <v>163</v>
      </c>
      <c r="M4198" s="10"/>
      <c r="O4198" s="5"/>
      <c r="P4198" s="9"/>
      <c r="Q4198" s="34"/>
      <c r="R4198" s="5"/>
      <c r="S4198" s="35"/>
    </row>
    <row r="4199" spans="1:21" ht="30" customHeight="1" thickBot="1" x14ac:dyDescent="0.4">
      <c r="A4199" s="1199"/>
      <c r="B4199" s="1200"/>
      <c r="C4199" s="1200"/>
      <c r="D4199" s="1200"/>
      <c r="E4199" s="1200"/>
      <c r="F4199" s="1200"/>
      <c r="G4199" s="1200"/>
      <c r="H4199" s="1200"/>
      <c r="I4199" s="1200"/>
      <c r="J4199" s="1200"/>
      <c r="K4199" s="1200"/>
      <c r="L4199" s="1201"/>
      <c r="M4199" s="10"/>
      <c r="O4199" s="5"/>
      <c r="P4199" s="9"/>
      <c r="Q4199" s="34"/>
      <c r="R4199" s="5"/>
      <c r="S4199" s="35"/>
    </row>
    <row r="4200" spans="1:21" ht="30" customHeight="1" x14ac:dyDescent="0.35">
      <c r="A4200" s="388" t="s">
        <v>1</v>
      </c>
      <c r="B4200" s="389">
        <v>8432</v>
      </c>
      <c r="C4200" s="1205" t="s">
        <v>1816</v>
      </c>
      <c r="D4200" s="1206"/>
      <c r="E4200" s="392" t="s">
        <v>3</v>
      </c>
      <c r="F4200" s="393" t="s">
        <v>28</v>
      </c>
      <c r="G4200" s="390" t="s">
        <v>38</v>
      </c>
      <c r="H4200" s="132">
        <v>5615.4647782874599</v>
      </c>
      <c r="I4200" s="392" t="s">
        <v>5</v>
      </c>
      <c r="J4200" s="1207" t="s">
        <v>2538</v>
      </c>
      <c r="K4200" s="1207"/>
      <c r="L4200" s="1208"/>
      <c r="M4200" s="99"/>
      <c r="O4200" s="5"/>
      <c r="P4200" s="9"/>
      <c r="Q4200" s="34"/>
      <c r="R4200" s="5"/>
      <c r="S4200" s="35"/>
    </row>
    <row r="4201" spans="1:21" ht="30" customHeight="1" x14ac:dyDescent="0.35">
      <c r="A4201" s="185" t="s">
        <v>177</v>
      </c>
      <c r="B4201" s="1272" t="s">
        <v>7</v>
      </c>
      <c r="C4201" s="1272"/>
      <c r="D4201" s="1272"/>
      <c r="E4201" s="397" t="s">
        <v>52</v>
      </c>
      <c r="F4201" s="566" t="s">
        <v>53</v>
      </c>
      <c r="G4201" s="1292" t="s">
        <v>54</v>
      </c>
      <c r="H4201" s="1293"/>
      <c r="I4201" s="1221" t="s">
        <v>179</v>
      </c>
      <c r="J4201" s="1222"/>
      <c r="K4201" s="399" t="s">
        <v>180</v>
      </c>
      <c r="L4201" s="400"/>
      <c r="M4201" s="96"/>
      <c r="O4201" s="5"/>
      <c r="P4201" s="9"/>
      <c r="Q4201" s="34"/>
      <c r="R4201" s="5"/>
      <c r="S4201" s="35"/>
    </row>
    <row r="4202" spans="1:21" ht="30" customHeight="1" x14ac:dyDescent="0.35">
      <c r="A4202" s="186">
        <v>84210</v>
      </c>
      <c r="B4202" s="1212" t="s">
        <v>2601</v>
      </c>
      <c r="C4202" s="1213"/>
      <c r="D4202" s="1214"/>
      <c r="E4202" s="193">
        <v>306.62</v>
      </c>
      <c r="F4202" s="203" t="s">
        <v>28</v>
      </c>
      <c r="G4202" s="788"/>
      <c r="H4202" s="136"/>
      <c r="I4202" s="1307">
        <f>+'FY2024 MILCON Inflation Table'!F22</f>
        <v>0.95834826759383673</v>
      </c>
      <c r="J4202" s="1308"/>
      <c r="K4202" s="199">
        <f>+E4202*I4202</f>
        <v>293.84874580962224</v>
      </c>
      <c r="L4202" s="401" t="s">
        <v>28</v>
      </c>
      <c r="M4202" s="50"/>
      <c r="O4202" s="5"/>
      <c r="P4202" s="9"/>
      <c r="Q4202" s="34"/>
      <c r="R4202" s="5"/>
      <c r="S4202" s="35"/>
    </row>
    <row r="4203" spans="1:21" ht="30" customHeight="1" x14ac:dyDescent="0.35">
      <c r="A4203" s="186">
        <v>84210</v>
      </c>
      <c r="B4203" s="1212" t="s">
        <v>2610</v>
      </c>
      <c r="C4203" s="1213"/>
      <c r="D4203" s="1214"/>
      <c r="E4203" s="193">
        <v>512.46</v>
      </c>
      <c r="F4203" s="203" t="s">
        <v>28</v>
      </c>
      <c r="G4203" s="1292"/>
      <c r="H4203" s="1293"/>
      <c r="I4203" s="1307">
        <f>+I4202</f>
        <v>0.95834826759383673</v>
      </c>
      <c r="J4203" s="1308"/>
      <c r="K4203" s="199">
        <f>+E4203*I4203</f>
        <v>491.11515321113762</v>
      </c>
      <c r="L4203" s="401" t="s">
        <v>28</v>
      </c>
      <c r="M4203" s="98"/>
      <c r="O4203" s="5"/>
      <c r="P4203" s="9"/>
      <c r="Q4203" s="34"/>
      <c r="R4203" s="5"/>
      <c r="S4203" s="35"/>
    </row>
    <row r="4204" spans="1:21" ht="30" customHeight="1" x14ac:dyDescent="0.35">
      <c r="A4204" s="9"/>
      <c r="E4204" s="278"/>
      <c r="F4204" s="422"/>
      <c r="G4204" s="19"/>
      <c r="H4204" s="708"/>
      <c r="I4204" s="186"/>
      <c r="J4204" s="422" t="s">
        <v>192</v>
      </c>
      <c r="K4204" s="190">
        <f>AVERAGE(K4202:K4203)</f>
        <v>392.48194951037993</v>
      </c>
      <c r="L4204" s="422" t="s">
        <v>28</v>
      </c>
      <c r="M4204" s="98"/>
      <c r="O4204" s="5"/>
      <c r="T4204" s="10"/>
      <c r="U4204" s="10"/>
    </row>
    <row r="4205" spans="1:21" ht="30" customHeight="1" x14ac:dyDescent="0.35">
      <c r="A4205" s="186">
        <v>89240</v>
      </c>
      <c r="B4205" s="1212" t="s">
        <v>2611</v>
      </c>
      <c r="C4205" s="1213"/>
      <c r="D4205" s="1214"/>
      <c r="E4205" s="309">
        <v>34725.89</v>
      </c>
      <c r="F4205" s="422" t="s">
        <v>40</v>
      </c>
      <c r="G4205" s="19">
        <v>1000</v>
      </c>
      <c r="H4205" s="708" t="s">
        <v>1749</v>
      </c>
      <c r="I4205" s="1307">
        <f>+I4202</f>
        <v>0.95834826759383673</v>
      </c>
      <c r="J4205" s="1308"/>
      <c r="K4205" s="202">
        <f>+E4205/G4205*I4205</f>
        <v>33.27949652215414</v>
      </c>
      <c r="L4205" s="422" t="s">
        <v>28</v>
      </c>
      <c r="N4205" s="50"/>
      <c r="O4205" s="15"/>
      <c r="T4205" s="10"/>
    </row>
    <row r="4206" spans="1:21" ht="30" customHeight="1" x14ac:dyDescent="0.35">
      <c r="A4206" s="186"/>
      <c r="B4206" s="1369" t="s">
        <v>2612</v>
      </c>
      <c r="C4206" s="1370"/>
      <c r="D4206" s="1371"/>
      <c r="E4206" s="7"/>
      <c r="F4206" s="422"/>
      <c r="G4206" s="19"/>
      <c r="H4206" s="708"/>
      <c r="I4206" s="186"/>
      <c r="J4206" s="422" t="s">
        <v>223</v>
      </c>
      <c r="K4206" s="202">
        <f>+K4204+K4205</f>
        <v>425.76144603253408</v>
      </c>
      <c r="L4206" s="422" t="s">
        <v>28</v>
      </c>
      <c r="T4206" s="10"/>
    </row>
    <row r="4207" spans="1:21" ht="30" customHeight="1" thickBot="1" x14ac:dyDescent="0.4">
      <c r="A4207" s="186"/>
      <c r="B4207" s="1202"/>
      <c r="C4207" s="1203"/>
      <c r="D4207" s="1204"/>
      <c r="E4207" s="7"/>
      <c r="F4207" s="422"/>
      <c r="G4207" s="20"/>
      <c r="H4207" s="708"/>
      <c r="I4207" s="186"/>
      <c r="J4207" s="566" t="s">
        <v>37</v>
      </c>
      <c r="K4207" s="202">
        <f>+K4206</f>
        <v>425.76144603253408</v>
      </c>
      <c r="L4207" s="422" t="s">
        <v>28</v>
      </c>
      <c r="M4207" s="59"/>
      <c r="O4207" s="5"/>
      <c r="P4207" s="9"/>
      <c r="Q4207" s="34"/>
      <c r="R4207" s="5"/>
      <c r="S4207" s="35"/>
    </row>
    <row r="4208" spans="1:21" ht="30" customHeight="1" thickBot="1" x14ac:dyDescent="0.4">
      <c r="A4208" s="1199"/>
      <c r="B4208" s="1200"/>
      <c r="C4208" s="1200"/>
      <c r="D4208" s="1200"/>
      <c r="E4208" s="1200"/>
      <c r="F4208" s="1200"/>
      <c r="G4208" s="1200"/>
      <c r="H4208" s="1200"/>
      <c r="I4208" s="1200"/>
      <c r="J4208" s="1200"/>
      <c r="K4208" s="1200"/>
      <c r="L4208" s="1201"/>
      <c r="O4208" s="5"/>
      <c r="P4208" s="9"/>
      <c r="Q4208" s="34"/>
      <c r="R4208" s="5"/>
      <c r="S4208" s="35"/>
    </row>
    <row r="4209" spans="1:19" ht="30" customHeight="1" thickBot="1" x14ac:dyDescent="0.4">
      <c r="A4209" s="388" t="s">
        <v>1</v>
      </c>
      <c r="B4209" s="389">
        <v>8433</v>
      </c>
      <c r="C4209" s="1205" t="s">
        <v>1817</v>
      </c>
      <c r="D4209" s="1206"/>
      <c r="E4209" s="392" t="s">
        <v>3</v>
      </c>
      <c r="F4209" s="393" t="s">
        <v>113</v>
      </c>
      <c r="G4209" s="390" t="s">
        <v>38</v>
      </c>
      <c r="H4209" s="132">
        <v>14275</v>
      </c>
      <c r="I4209" s="392" t="s">
        <v>5</v>
      </c>
      <c r="J4209" s="1304" t="s">
        <v>488</v>
      </c>
      <c r="K4209" s="1305"/>
      <c r="L4209" s="1306"/>
      <c r="O4209" s="5"/>
      <c r="P4209" s="9"/>
      <c r="Q4209" s="34"/>
      <c r="R4209" s="5"/>
      <c r="S4209" s="35"/>
    </row>
    <row r="4210" spans="1:19" ht="30" customHeight="1" thickBot="1" x14ac:dyDescent="0.4">
      <c r="A4210" s="1199"/>
      <c r="B4210" s="1200"/>
      <c r="C4210" s="1200"/>
      <c r="D4210" s="1200"/>
      <c r="E4210" s="1200"/>
      <c r="F4210" s="1200"/>
      <c r="G4210" s="1200"/>
      <c r="H4210" s="1200"/>
      <c r="I4210" s="1200"/>
      <c r="J4210" s="1200"/>
      <c r="K4210" s="1200"/>
      <c r="L4210" s="1201"/>
      <c r="P4210" s="9"/>
      <c r="Q4210" s="34"/>
      <c r="R4210" s="5"/>
      <c r="S4210" s="35"/>
    </row>
    <row r="4211" spans="1:19" ht="30" customHeight="1" x14ac:dyDescent="0.35">
      <c r="A4211" s="388" t="s">
        <v>1</v>
      </c>
      <c r="B4211" s="389">
        <v>8434</v>
      </c>
      <c r="C4211" s="1290" t="s">
        <v>1818</v>
      </c>
      <c r="D4211" s="1291"/>
      <c r="E4211" s="392" t="s">
        <v>3</v>
      </c>
      <c r="F4211" s="393" t="s">
        <v>1751</v>
      </c>
      <c r="G4211" s="390" t="s">
        <v>38</v>
      </c>
      <c r="H4211" s="135">
        <v>2943.7382424242401</v>
      </c>
      <c r="I4211" s="392" t="s">
        <v>5</v>
      </c>
      <c r="J4211" s="1207" t="s">
        <v>2538</v>
      </c>
      <c r="K4211" s="1207"/>
      <c r="L4211" s="1208"/>
      <c r="M4211" s="96"/>
      <c r="O4211" s="5"/>
      <c r="P4211" s="9"/>
      <c r="Q4211" s="34"/>
      <c r="R4211" s="5"/>
      <c r="S4211" s="35"/>
    </row>
    <row r="4212" spans="1:19" ht="30" customHeight="1" x14ac:dyDescent="0.35">
      <c r="A4212" s="185" t="s">
        <v>177</v>
      </c>
      <c r="B4212" s="1272" t="s">
        <v>7</v>
      </c>
      <c r="C4212" s="1272"/>
      <c r="D4212" s="1272"/>
      <c r="E4212" s="397" t="s">
        <v>1605</v>
      </c>
      <c r="F4212" s="185" t="s">
        <v>1809</v>
      </c>
      <c r="G4212" s="1292" t="s">
        <v>54</v>
      </c>
      <c r="H4212" s="1293"/>
      <c r="I4212" s="1221" t="s">
        <v>351</v>
      </c>
      <c r="J4212" s="1222"/>
      <c r="K4212" s="1209" t="s">
        <v>180</v>
      </c>
      <c r="L4212" s="1210"/>
      <c r="M4212" s="98"/>
      <c r="O4212" s="5"/>
      <c r="P4212" s="9"/>
      <c r="Q4212" s="34"/>
      <c r="R4212" s="5"/>
      <c r="S4212" s="35"/>
    </row>
    <row r="4213" spans="1:19" ht="30" customHeight="1" x14ac:dyDescent="0.35">
      <c r="A4213" s="186">
        <v>84472</v>
      </c>
      <c r="B4213" s="1212" t="s">
        <v>1815</v>
      </c>
      <c r="C4213" s="1213"/>
      <c r="D4213" s="1214"/>
      <c r="E4213" s="351">
        <v>234643.59</v>
      </c>
      <c r="F4213" s="203">
        <v>2000</v>
      </c>
      <c r="G4213" s="1149">
        <v>2880</v>
      </c>
      <c r="H4213" s="136" t="s">
        <v>1810</v>
      </c>
      <c r="I4213" s="1307">
        <f>+'FY2024 MILCON Inflation Table'!F22</f>
        <v>0.95834826759383673</v>
      </c>
      <c r="J4213" s="1308"/>
      <c r="K4213" s="199">
        <f>+E4213/G4213*I4213</f>
        <v>78.079957631423085</v>
      </c>
      <c r="L4213" s="186" t="s">
        <v>1751</v>
      </c>
      <c r="O4213" s="5"/>
      <c r="P4213" s="9"/>
      <c r="Q4213" s="34"/>
      <c r="R4213" s="5"/>
      <c r="S4213" s="35"/>
    </row>
    <row r="4214" spans="1:19" ht="30" customHeight="1" x14ac:dyDescent="0.35">
      <c r="A4214" s="186">
        <v>84472</v>
      </c>
      <c r="B4214" s="1212" t="s">
        <v>2614</v>
      </c>
      <c r="C4214" s="1213"/>
      <c r="D4214" s="1214"/>
      <c r="E4214" s="351">
        <v>347917.65</v>
      </c>
      <c r="F4214" s="203">
        <v>2500</v>
      </c>
      <c r="G4214" s="1150">
        <v>3600</v>
      </c>
      <c r="H4214" s="136" t="s">
        <v>2609</v>
      </c>
      <c r="I4214" s="1307">
        <f>+I4213</f>
        <v>0.95834826759383673</v>
      </c>
      <c r="J4214" s="1308"/>
      <c r="K4214" s="199">
        <f>+E4214/G4214*I4214</f>
        <v>92.618410317449687</v>
      </c>
      <c r="L4214" s="186" t="s">
        <v>1751</v>
      </c>
      <c r="N4214" s="10"/>
      <c r="O4214" s="5"/>
      <c r="P4214" s="9"/>
      <c r="Q4214" s="34"/>
      <c r="R4214" s="5"/>
      <c r="S4214" s="35"/>
    </row>
    <row r="4215" spans="1:19" ht="30" customHeight="1" x14ac:dyDescent="0.35">
      <c r="A4215" s="186">
        <v>84472</v>
      </c>
      <c r="B4215" s="1212" t="s">
        <v>2613</v>
      </c>
      <c r="C4215" s="1213"/>
      <c r="D4215" s="1214"/>
      <c r="E4215" s="351">
        <v>138148.78</v>
      </c>
      <c r="F4215" s="203">
        <v>2000</v>
      </c>
      <c r="G4215" s="1149">
        <v>2880</v>
      </c>
      <c r="H4215" s="136" t="s">
        <v>1810</v>
      </c>
      <c r="I4215" s="1307">
        <f>+I4213</f>
        <v>0.95834826759383673</v>
      </c>
      <c r="J4215" s="1308"/>
      <c r="K4215" s="199">
        <f>+E4215/G4215*I4215</f>
        <v>45.970362494167389</v>
      </c>
      <c r="L4215" s="186" t="s">
        <v>1751</v>
      </c>
      <c r="N4215" s="66"/>
      <c r="O4215" s="5"/>
      <c r="P4215" s="9"/>
      <c r="Q4215" s="34"/>
      <c r="R4215" s="5"/>
      <c r="S4215" s="35"/>
    </row>
    <row r="4216" spans="1:19" ht="30" customHeight="1" thickBot="1" x14ac:dyDescent="0.4">
      <c r="A4216" s="186"/>
      <c r="B4216" s="1202" t="s">
        <v>2608</v>
      </c>
      <c r="C4216" s="1203"/>
      <c r="D4216" s="1204"/>
      <c r="E4216" s="520"/>
      <c r="F4216" s="784">
        <f>AVERAGE(F4213:F4215)</f>
        <v>2166.6666666666665</v>
      </c>
      <c r="G4216" s="520"/>
      <c r="H4216" s="750" t="s">
        <v>192</v>
      </c>
      <c r="I4216" s="503"/>
      <c r="J4216" s="494" t="s">
        <v>37</v>
      </c>
      <c r="K4216" s="190">
        <f>AVERAGE(K4213:K4215)</f>
        <v>72.222910147680054</v>
      </c>
      <c r="L4216" s="401" t="s">
        <v>1751</v>
      </c>
      <c r="M4216" s="10"/>
      <c r="O4216" s="5"/>
      <c r="P4216" s="9"/>
      <c r="Q4216" s="34"/>
      <c r="R4216" s="5"/>
      <c r="S4216" s="35"/>
    </row>
    <row r="4217" spans="1:19" ht="30" customHeight="1" thickBot="1" x14ac:dyDescent="0.4">
      <c r="A4217" s="1199"/>
      <c r="B4217" s="1200"/>
      <c r="C4217" s="1200"/>
      <c r="D4217" s="1200"/>
      <c r="E4217" s="1200"/>
      <c r="F4217" s="1200"/>
      <c r="G4217" s="1200"/>
      <c r="H4217" s="1200"/>
      <c r="I4217" s="1200"/>
      <c r="J4217" s="1200"/>
      <c r="K4217" s="1200"/>
      <c r="L4217" s="1201"/>
      <c r="M4217" s="10"/>
      <c r="O4217" s="5"/>
      <c r="P4217" s="9"/>
      <c r="Q4217" s="34"/>
      <c r="R4217" s="5"/>
      <c r="S4217" s="35"/>
    </row>
    <row r="4218" spans="1:19" ht="30" customHeight="1" x14ac:dyDescent="0.35">
      <c r="A4218" s="388" t="s">
        <v>1</v>
      </c>
      <c r="B4218" s="389">
        <v>8435</v>
      </c>
      <c r="C4218" s="1290" t="s">
        <v>1819</v>
      </c>
      <c r="D4218" s="1291"/>
      <c r="E4218" s="392" t="s">
        <v>3</v>
      </c>
      <c r="F4218" s="393" t="s">
        <v>113</v>
      </c>
      <c r="G4218" s="390" t="s">
        <v>38</v>
      </c>
      <c r="H4218" s="135">
        <v>158377</v>
      </c>
      <c r="I4218" s="392" t="s">
        <v>5</v>
      </c>
      <c r="J4218" s="1207" t="s">
        <v>1820</v>
      </c>
      <c r="K4218" s="1207"/>
      <c r="L4218" s="1208"/>
      <c r="M4218" s="99"/>
      <c r="O4218" s="5"/>
      <c r="P4218" s="9"/>
      <c r="Q4218" s="34"/>
      <c r="R4218" s="5"/>
      <c r="S4218" s="35"/>
    </row>
    <row r="4219" spans="1:19" ht="30" customHeight="1" x14ac:dyDescent="0.35">
      <c r="A4219" s="185"/>
      <c r="B4219" s="1272" t="s">
        <v>7</v>
      </c>
      <c r="C4219" s="1272"/>
      <c r="D4219" s="1272"/>
      <c r="E4219" s="185" t="s">
        <v>52</v>
      </c>
      <c r="F4219" s="185" t="s">
        <v>53</v>
      </c>
      <c r="G4219" s="1219" t="s">
        <v>54</v>
      </c>
      <c r="H4219" s="1220"/>
      <c r="I4219" s="185" t="s">
        <v>55</v>
      </c>
      <c r="J4219" s="185" t="s">
        <v>56</v>
      </c>
      <c r="K4219" s="1209" t="s">
        <v>37</v>
      </c>
      <c r="L4219" s="1210"/>
      <c r="M4219" s="99"/>
      <c r="O4219" s="5"/>
      <c r="P4219" s="9"/>
      <c r="Q4219" s="34"/>
      <c r="R4219" s="5"/>
      <c r="S4219" s="35"/>
    </row>
    <row r="4220" spans="1:19" ht="30" customHeight="1" thickBot="1" x14ac:dyDescent="0.4">
      <c r="A4220" s="407"/>
      <c r="B4220" s="1446" t="s">
        <v>1797</v>
      </c>
      <c r="C4220" s="1446"/>
      <c r="D4220" s="1446"/>
      <c r="E4220" s="713">
        <f>K4153</f>
        <v>1.6381800391389432</v>
      </c>
      <c r="F4220" s="188"/>
      <c r="G4220" s="1332"/>
      <c r="H4220" s="1333"/>
      <c r="I4220" s="188"/>
      <c r="J4220" s="470"/>
      <c r="K4220" s="471">
        <f>E4220</f>
        <v>1.6381800391389432</v>
      </c>
      <c r="L4220" s="401" t="s">
        <v>113</v>
      </c>
      <c r="M4220" s="50"/>
      <c r="N4220" s="50"/>
      <c r="O4220" s="5"/>
      <c r="P4220" s="9"/>
      <c r="Q4220" s="34"/>
      <c r="R4220" s="5"/>
      <c r="S4220" s="35"/>
    </row>
    <row r="4221" spans="1:19" ht="30" customHeight="1" thickBot="1" x14ac:dyDescent="0.4">
      <c r="A4221" s="1199"/>
      <c r="B4221" s="1200"/>
      <c r="C4221" s="1200"/>
      <c r="D4221" s="1200"/>
      <c r="E4221" s="1200"/>
      <c r="F4221" s="1200"/>
      <c r="G4221" s="1200"/>
      <c r="H4221" s="1200"/>
      <c r="I4221" s="1200"/>
      <c r="J4221" s="1200"/>
      <c r="K4221" s="1200"/>
      <c r="L4221" s="1201"/>
      <c r="M4221" s="50"/>
      <c r="O4221" s="5"/>
      <c r="P4221" s="9"/>
      <c r="Q4221" s="34"/>
      <c r="R4221" s="5"/>
      <c r="S4221" s="35"/>
    </row>
    <row r="4222" spans="1:19" ht="30" customHeight="1" x14ac:dyDescent="0.35">
      <c r="A4222" s="388" t="s">
        <v>1</v>
      </c>
      <c r="B4222" s="389">
        <v>8442</v>
      </c>
      <c r="C4222" s="1205" t="s">
        <v>1821</v>
      </c>
      <c r="D4222" s="1206"/>
      <c r="E4222" s="392" t="s">
        <v>3</v>
      </c>
      <c r="F4222" s="393" t="s">
        <v>113</v>
      </c>
      <c r="G4222" s="390" t="s">
        <v>38</v>
      </c>
      <c r="H4222" s="146">
        <v>151405</v>
      </c>
      <c r="I4222" s="392" t="s">
        <v>5</v>
      </c>
      <c r="J4222" s="1207" t="s">
        <v>232</v>
      </c>
      <c r="K4222" s="1207"/>
      <c r="L4222" s="1208"/>
      <c r="M4222" s="50"/>
      <c r="O4222" s="5"/>
      <c r="P4222" s="9"/>
      <c r="Q4222" s="34"/>
      <c r="R4222" s="5"/>
      <c r="S4222" s="35"/>
    </row>
    <row r="4223" spans="1:19" ht="30" customHeight="1" x14ac:dyDescent="0.35">
      <c r="A4223" s="185" t="s">
        <v>177</v>
      </c>
      <c r="B4223" s="1280" t="s">
        <v>211</v>
      </c>
      <c r="C4223" s="1281"/>
      <c r="D4223" s="1282"/>
      <c r="E4223" s="566" t="s">
        <v>52</v>
      </c>
      <c r="F4223" s="566" t="s">
        <v>53</v>
      </c>
      <c r="G4223" s="1219" t="s">
        <v>54</v>
      </c>
      <c r="H4223" s="1220"/>
      <c r="I4223" s="1221" t="s">
        <v>179</v>
      </c>
      <c r="J4223" s="1222"/>
      <c r="K4223" s="399" t="s">
        <v>180</v>
      </c>
      <c r="L4223" s="400"/>
      <c r="M4223" s="50"/>
      <c r="O4223" s="5"/>
      <c r="P4223" s="9"/>
      <c r="Q4223" s="34"/>
      <c r="R4223" s="5"/>
      <c r="S4223" s="35"/>
    </row>
    <row r="4224" spans="1:19" ht="30" customHeight="1" x14ac:dyDescent="0.35">
      <c r="A4224" s="186">
        <v>84620</v>
      </c>
      <c r="B4224" s="1212" t="s">
        <v>2944</v>
      </c>
      <c r="C4224" s="1213"/>
      <c r="D4224" s="1214"/>
      <c r="E4224" s="7">
        <v>255230</v>
      </c>
      <c r="F4224" s="422" t="s">
        <v>40</v>
      </c>
      <c r="G4224" s="19">
        <v>100000</v>
      </c>
      <c r="H4224" s="708" t="s">
        <v>1118</v>
      </c>
      <c r="I4224" s="1307">
        <f>+'FY2024 MILCON Inflation Table'!F21</f>
        <v>0.97847358121330719</v>
      </c>
      <c r="J4224" s="1308"/>
      <c r="K4224" s="193">
        <f>+E4224/G4224*I4224</f>
        <v>2.4973581213307239</v>
      </c>
      <c r="L4224" s="422" t="s">
        <v>113</v>
      </c>
      <c r="M4224" s="50"/>
      <c r="N4224" s="50"/>
      <c r="O4224" s="5"/>
      <c r="P4224" s="9"/>
      <c r="Q4224" s="34"/>
      <c r="R4224" s="5"/>
      <c r="S4224" s="35"/>
    </row>
    <row r="4225" spans="1:20" ht="30" customHeight="1" x14ac:dyDescent="0.35">
      <c r="A4225" s="186">
        <v>84620</v>
      </c>
      <c r="B4225" s="1212" t="s">
        <v>2945</v>
      </c>
      <c r="C4225" s="1213"/>
      <c r="D4225" s="1214"/>
      <c r="E4225" s="7">
        <v>492910</v>
      </c>
      <c r="F4225" s="186" t="s">
        <v>40</v>
      </c>
      <c r="G4225" s="155">
        <v>250000</v>
      </c>
      <c r="H4225" s="136" t="s">
        <v>1118</v>
      </c>
      <c r="I4225" s="1307">
        <f>+I4224</f>
        <v>0.97847358121330719</v>
      </c>
      <c r="J4225" s="1308"/>
      <c r="K4225" s="193">
        <f>+E4225/G4225*I4225</f>
        <v>1.9291976516634051</v>
      </c>
      <c r="L4225" s="186" t="s">
        <v>113</v>
      </c>
      <c r="M4225" s="50"/>
      <c r="O4225" s="5"/>
      <c r="P4225" s="9"/>
      <c r="Q4225" s="34"/>
      <c r="R4225" s="5"/>
      <c r="S4225" s="35"/>
    </row>
    <row r="4226" spans="1:20" ht="30" customHeight="1" x14ac:dyDescent="0.35">
      <c r="A4226" s="790"/>
      <c r="B4226" s="1211"/>
      <c r="C4226" s="1211"/>
      <c r="D4226" s="1211"/>
      <c r="E4226" s="194"/>
      <c r="F4226" s="186"/>
      <c r="G4226" s="186"/>
      <c r="H4226" s="186"/>
      <c r="I4226" s="186"/>
      <c r="J4226" s="186" t="s">
        <v>192</v>
      </c>
      <c r="K4226" s="194">
        <f>AVERAGE(K4224:K4225)</f>
        <v>2.2132778864970644</v>
      </c>
      <c r="L4226" s="186" t="s">
        <v>113</v>
      </c>
      <c r="M4226" s="50"/>
      <c r="O4226" s="5"/>
      <c r="P4226" s="9"/>
      <c r="Q4226" s="34"/>
      <c r="R4226" s="5"/>
      <c r="S4226" s="35"/>
    </row>
    <row r="4227" spans="1:20" ht="30" customHeight="1" thickBot="1" x14ac:dyDescent="0.4">
      <c r="A4227" s="186"/>
      <c r="B4227" s="186"/>
      <c r="C4227" s="503"/>
      <c r="D4227" s="503"/>
      <c r="E4227" s="503"/>
      <c r="F4227" s="503"/>
      <c r="G4227" s="503"/>
      <c r="H4227" s="503"/>
      <c r="I4227" s="503"/>
      <c r="J4227" s="494" t="s">
        <v>37</v>
      </c>
      <c r="K4227" s="193">
        <f>+K4226</f>
        <v>2.2132778864970644</v>
      </c>
      <c r="L4227" s="186" t="s">
        <v>113</v>
      </c>
      <c r="M4227" s="50"/>
      <c r="N4227" s="50"/>
      <c r="O4227" s="5"/>
      <c r="P4227" s="9"/>
      <c r="Q4227" s="34"/>
      <c r="R4227" s="5"/>
      <c r="S4227" s="35"/>
    </row>
    <row r="4228" spans="1:20" ht="30" customHeight="1" thickBot="1" x14ac:dyDescent="0.4">
      <c r="A4228" s="1199"/>
      <c r="B4228" s="1200"/>
      <c r="C4228" s="1200"/>
      <c r="D4228" s="1200"/>
      <c r="E4228" s="1200"/>
      <c r="F4228" s="1200"/>
      <c r="G4228" s="1200"/>
      <c r="H4228" s="1200"/>
      <c r="I4228" s="1200"/>
      <c r="J4228" s="1200"/>
      <c r="K4228" s="1200"/>
      <c r="L4228" s="1201"/>
      <c r="M4228" s="96"/>
      <c r="O4228" s="5"/>
      <c r="P4228" s="9"/>
      <c r="Q4228" s="683"/>
      <c r="R4228" s="16"/>
      <c r="S4228" s="866"/>
      <c r="T4228" s="14"/>
    </row>
    <row r="4229" spans="1:20" ht="30" customHeight="1" thickBot="1" x14ac:dyDescent="0.4">
      <c r="A4229" s="388" t="s">
        <v>1</v>
      </c>
      <c r="B4229" s="389">
        <v>8443</v>
      </c>
      <c r="C4229" s="1205" t="s">
        <v>1822</v>
      </c>
      <c r="D4229" s="1206"/>
      <c r="E4229" s="392" t="s">
        <v>3</v>
      </c>
      <c r="F4229" s="393" t="s">
        <v>113</v>
      </c>
      <c r="G4229" s="390" t="s">
        <v>38</v>
      </c>
      <c r="H4229" s="146">
        <v>245048</v>
      </c>
      <c r="I4229" s="392" t="s">
        <v>5</v>
      </c>
      <c r="J4229" s="1207" t="s">
        <v>488</v>
      </c>
      <c r="K4229" s="1207"/>
      <c r="L4229" s="1208"/>
      <c r="N4229" s="50"/>
      <c r="O4229" s="5"/>
      <c r="P4229" s="9"/>
      <c r="Q4229" s="34"/>
      <c r="R4229" s="5"/>
      <c r="S4229" s="35"/>
    </row>
    <row r="4230" spans="1:20" ht="30" customHeight="1" thickBot="1" x14ac:dyDescent="0.4">
      <c r="A4230" s="1199"/>
      <c r="B4230" s="1200"/>
      <c r="C4230" s="1200"/>
      <c r="D4230" s="1200"/>
      <c r="E4230" s="1200"/>
      <c r="F4230" s="1200"/>
      <c r="G4230" s="1200"/>
      <c r="H4230" s="1200"/>
      <c r="I4230" s="1200"/>
      <c r="J4230" s="1200"/>
      <c r="K4230" s="1200"/>
      <c r="L4230" s="1201"/>
      <c r="N4230" s="50"/>
      <c r="O4230" s="5"/>
      <c r="P4230" s="9"/>
      <c r="Q4230" s="34"/>
      <c r="R4230" s="5"/>
      <c r="S4230" s="35"/>
    </row>
    <row r="4231" spans="1:20" ht="30" customHeight="1" x14ac:dyDescent="0.35">
      <c r="A4231" s="388" t="s">
        <v>1</v>
      </c>
      <c r="B4231" s="389">
        <v>8451</v>
      </c>
      <c r="C4231" s="1205" t="s">
        <v>1823</v>
      </c>
      <c r="D4231" s="1206"/>
      <c r="E4231" s="392" t="s">
        <v>3</v>
      </c>
      <c r="F4231" s="393" t="s">
        <v>28</v>
      </c>
      <c r="G4231" s="390" t="s">
        <v>38</v>
      </c>
      <c r="H4231" s="146">
        <v>17288.509488491</v>
      </c>
      <c r="I4231" s="392" t="s">
        <v>5</v>
      </c>
      <c r="J4231" s="1207" t="s">
        <v>2873</v>
      </c>
      <c r="K4231" s="1207"/>
      <c r="L4231" s="1208"/>
      <c r="M4231" s="96"/>
      <c r="O4231" s="5"/>
      <c r="P4231" s="9"/>
      <c r="Q4231" s="34"/>
      <c r="R4231" s="5"/>
      <c r="S4231" s="35"/>
    </row>
    <row r="4232" spans="1:20" ht="30" customHeight="1" x14ac:dyDescent="0.35">
      <c r="A4232" s="185" t="s">
        <v>177</v>
      </c>
      <c r="B4232" s="1272" t="s">
        <v>7</v>
      </c>
      <c r="C4232" s="1272"/>
      <c r="D4232" s="1272"/>
      <c r="E4232" s="397" t="s">
        <v>52</v>
      </c>
      <c r="F4232" s="566" t="s">
        <v>53</v>
      </c>
      <c r="G4232" s="1292" t="s">
        <v>54</v>
      </c>
      <c r="H4232" s="1293"/>
      <c r="I4232" s="1221" t="s">
        <v>179</v>
      </c>
      <c r="J4232" s="1222"/>
      <c r="K4232" s="399" t="s">
        <v>180</v>
      </c>
      <c r="L4232" s="400"/>
      <c r="M4232" s="96"/>
      <c r="O4232" s="5"/>
      <c r="P4232" s="9"/>
      <c r="Q4232" s="34"/>
      <c r="R4232" s="5"/>
      <c r="S4232" s="35"/>
    </row>
    <row r="4233" spans="1:20" ht="30" customHeight="1" x14ac:dyDescent="0.35">
      <c r="A4233" s="186">
        <v>84210</v>
      </c>
      <c r="B4233" s="1369" t="s">
        <v>2602</v>
      </c>
      <c r="C4233" s="1370"/>
      <c r="D4233" s="1371"/>
      <c r="E4233" s="309">
        <v>257.76</v>
      </c>
      <c r="F4233" s="203" t="s">
        <v>28</v>
      </c>
      <c r="G4233" s="788"/>
      <c r="H4233" s="136"/>
      <c r="I4233" s="1307">
        <f>+'FY2024 MILCON Inflation Table'!F23</f>
        <v>0.93863689284411045</v>
      </c>
      <c r="J4233" s="1308"/>
      <c r="K4233" s="199">
        <f>+E4233*I4233</f>
        <v>241.94304549949791</v>
      </c>
      <c r="L4233" s="401" t="s">
        <v>28</v>
      </c>
      <c r="M4233" s="50"/>
      <c r="O4233" s="5"/>
      <c r="P4233" s="9"/>
      <c r="Q4233" s="34"/>
      <c r="R4233" s="5"/>
      <c r="S4233" s="35"/>
    </row>
    <row r="4234" spans="1:20" ht="30" customHeight="1" x14ac:dyDescent="0.35">
      <c r="A4234" s="186">
        <v>84210</v>
      </c>
      <c r="B4234" s="1212" t="s">
        <v>2953</v>
      </c>
      <c r="C4234" s="1213"/>
      <c r="D4234" s="1214"/>
      <c r="E4234" s="309">
        <v>163.1</v>
      </c>
      <c r="F4234" s="422" t="s">
        <v>28</v>
      </c>
      <c r="G4234" s="19"/>
      <c r="H4234" s="708"/>
      <c r="I4234" s="1307">
        <f>+I4233</f>
        <v>0.93863689284411045</v>
      </c>
      <c r="J4234" s="1308"/>
      <c r="K4234" s="199">
        <f>+E4234*I4234</f>
        <v>153.09167722287441</v>
      </c>
      <c r="L4234" s="401" t="s">
        <v>28</v>
      </c>
      <c r="M4234" s="50"/>
      <c r="O4234" s="5"/>
      <c r="P4234" s="9"/>
      <c r="Q4234" s="34"/>
      <c r="R4234" s="5"/>
      <c r="S4234" s="35"/>
    </row>
    <row r="4235" spans="1:20" ht="30" customHeight="1" x14ac:dyDescent="0.35">
      <c r="A4235" s="186">
        <v>84210</v>
      </c>
      <c r="B4235" s="1212" t="s">
        <v>2954</v>
      </c>
      <c r="C4235" s="1213"/>
      <c r="D4235" s="1214"/>
      <c r="E4235" s="309">
        <v>202.64</v>
      </c>
      <c r="F4235" s="422" t="s">
        <v>28</v>
      </c>
      <c r="G4235" s="19"/>
      <c r="H4235" s="708"/>
      <c r="I4235" s="1307">
        <f>+I4234</f>
        <v>0.93863689284411045</v>
      </c>
      <c r="J4235" s="1308"/>
      <c r="K4235" s="199">
        <f>+E4235*I4235</f>
        <v>190.20537996593052</v>
      </c>
      <c r="L4235" s="401" t="s">
        <v>28</v>
      </c>
      <c r="M4235" s="50"/>
      <c r="O4235" s="5"/>
      <c r="P4235" s="9"/>
      <c r="Q4235" s="34"/>
      <c r="R4235" s="5"/>
      <c r="S4235" s="35"/>
    </row>
    <row r="4236" spans="1:20" ht="30" customHeight="1" x14ac:dyDescent="0.35">
      <c r="A4236" s="186"/>
      <c r="B4236" s="1202"/>
      <c r="C4236" s="1203"/>
      <c r="D4236" s="1204"/>
      <c r="E4236" s="7"/>
      <c r="F4236" s="422"/>
      <c r="I4236" s="186"/>
      <c r="J4236" s="422" t="s">
        <v>2551</v>
      </c>
      <c r="K4236" s="190">
        <f>AVERAGE(K4233:K4235)</f>
        <v>195.08003422943429</v>
      </c>
      <c r="L4236" s="422" t="s">
        <v>28</v>
      </c>
      <c r="M4236" s="539"/>
      <c r="O4236" s="5"/>
      <c r="P4236" s="9"/>
      <c r="Q4236" s="34"/>
      <c r="R4236" s="5"/>
      <c r="S4236" s="35"/>
    </row>
    <row r="4237" spans="1:20" ht="30" customHeight="1" thickBot="1" x14ac:dyDescent="0.4">
      <c r="A4237" s="186"/>
      <c r="B4237" s="373"/>
      <c r="C4237" s="374"/>
      <c r="D4237" s="375"/>
      <c r="E4237" s="7"/>
      <c r="F4237" s="422"/>
      <c r="G4237" s="1464"/>
      <c r="H4237" s="1465"/>
      <c r="I4237" s="186"/>
      <c r="J4237" s="494" t="s">
        <v>37</v>
      </c>
      <c r="K4237" s="190">
        <f>+K4236</f>
        <v>195.08003422943429</v>
      </c>
      <c r="L4237" s="422" t="s">
        <v>28</v>
      </c>
      <c r="M4237" s="50"/>
      <c r="O4237" s="5"/>
      <c r="P4237" s="9"/>
      <c r="Q4237" s="34"/>
      <c r="R4237" s="5"/>
      <c r="S4237" s="35"/>
    </row>
    <row r="4238" spans="1:20" ht="30" customHeight="1" thickBot="1" x14ac:dyDescent="0.4">
      <c r="A4238" s="1199"/>
      <c r="B4238" s="1200"/>
      <c r="C4238" s="1200"/>
      <c r="D4238" s="1200"/>
      <c r="E4238" s="1200"/>
      <c r="F4238" s="1200"/>
      <c r="G4238" s="1200"/>
      <c r="H4238" s="1200"/>
      <c r="I4238" s="1200"/>
      <c r="J4238" s="1200"/>
      <c r="K4238" s="1200"/>
      <c r="L4238" s="1201"/>
      <c r="N4238" s="50"/>
      <c r="O4238" s="5"/>
      <c r="P4238" s="9"/>
      <c r="Q4238" s="34"/>
      <c r="R4238" s="5"/>
      <c r="S4238" s="35"/>
    </row>
    <row r="4239" spans="1:20" ht="30" customHeight="1" x14ac:dyDescent="0.35">
      <c r="A4239" s="388" t="s">
        <v>1</v>
      </c>
      <c r="B4239" s="389">
        <v>8452</v>
      </c>
      <c r="C4239" s="1290" t="s">
        <v>1824</v>
      </c>
      <c r="D4239" s="1291"/>
      <c r="E4239" s="392" t="s">
        <v>3</v>
      </c>
      <c r="F4239" s="393" t="s">
        <v>1751</v>
      </c>
      <c r="G4239" s="390" t="s">
        <v>38</v>
      </c>
      <c r="H4239" s="135">
        <v>9745.4505660377308</v>
      </c>
      <c r="I4239" s="392" t="s">
        <v>5</v>
      </c>
      <c r="J4239" s="1207" t="s">
        <v>2538</v>
      </c>
      <c r="K4239" s="1207"/>
      <c r="L4239" s="1208"/>
      <c r="M4239" s="98"/>
      <c r="N4239" s="10"/>
      <c r="O4239" s="5"/>
      <c r="P4239" s="9"/>
      <c r="Q4239" s="34"/>
      <c r="R4239" s="5"/>
      <c r="S4239" s="35"/>
    </row>
    <row r="4240" spans="1:20" ht="30" customHeight="1" x14ac:dyDescent="0.35">
      <c r="A4240" s="185" t="s">
        <v>177</v>
      </c>
      <c r="B4240" s="1272" t="s">
        <v>7</v>
      </c>
      <c r="C4240" s="1272"/>
      <c r="D4240" s="1272"/>
      <c r="E4240" s="397" t="s">
        <v>1605</v>
      </c>
      <c r="F4240" s="185" t="s">
        <v>1809</v>
      </c>
      <c r="G4240" s="1292" t="s">
        <v>54</v>
      </c>
      <c r="H4240" s="1293"/>
      <c r="I4240" s="1221" t="s">
        <v>179</v>
      </c>
      <c r="J4240" s="1222"/>
      <c r="K4240" s="1209" t="s">
        <v>180</v>
      </c>
      <c r="L4240" s="1210"/>
      <c r="M4240" s="98"/>
      <c r="N4240" s="10"/>
      <c r="O4240" s="5"/>
      <c r="P4240" s="9"/>
      <c r="Q4240" s="34"/>
      <c r="R4240" s="5"/>
      <c r="S4240" s="35"/>
    </row>
    <row r="4241" spans="1:19" ht="30" customHeight="1" x14ac:dyDescent="0.35">
      <c r="A4241" s="186">
        <v>84472</v>
      </c>
      <c r="B4241" s="1212" t="s">
        <v>1815</v>
      </c>
      <c r="C4241" s="1213"/>
      <c r="D4241" s="1214"/>
      <c r="E4241" s="351">
        <v>234643.59</v>
      </c>
      <c r="F4241" s="203">
        <v>2000</v>
      </c>
      <c r="G4241" s="1149">
        <v>2880</v>
      </c>
      <c r="H4241" s="136" t="s">
        <v>1810</v>
      </c>
      <c r="I4241" s="1307">
        <f>+'FY2024 MILCON Inflation Table'!F22</f>
        <v>0.95834826759383673</v>
      </c>
      <c r="J4241" s="1308"/>
      <c r="K4241" s="199">
        <f>+E4241/G4241*I4241</f>
        <v>78.079957631423085</v>
      </c>
      <c r="L4241" s="186" t="s">
        <v>1751</v>
      </c>
      <c r="O4241" s="5"/>
      <c r="P4241" s="9"/>
      <c r="Q4241" s="34"/>
      <c r="R4241" s="5"/>
      <c r="S4241" s="35"/>
    </row>
    <row r="4242" spans="1:19" ht="30" customHeight="1" x14ac:dyDescent="0.35">
      <c r="A4242" s="186">
        <v>84472</v>
      </c>
      <c r="B4242" s="1212" t="s">
        <v>2614</v>
      </c>
      <c r="C4242" s="1213"/>
      <c r="D4242" s="1214"/>
      <c r="E4242" s="351">
        <v>347917.65</v>
      </c>
      <c r="F4242" s="203">
        <v>2500</v>
      </c>
      <c r="G4242" s="1150">
        <v>3600</v>
      </c>
      <c r="H4242" s="136" t="s">
        <v>2609</v>
      </c>
      <c r="I4242" s="1307">
        <f>+I4241</f>
        <v>0.95834826759383673</v>
      </c>
      <c r="J4242" s="1308"/>
      <c r="K4242" s="199">
        <f>+E4242/G4242*I4242</f>
        <v>92.618410317449687</v>
      </c>
      <c r="L4242" s="186" t="s">
        <v>1751</v>
      </c>
      <c r="N4242" s="50"/>
      <c r="O4242" s="5"/>
      <c r="P4242" s="9"/>
      <c r="Q4242" s="34"/>
      <c r="R4242" s="5"/>
      <c r="S4242" s="35"/>
    </row>
    <row r="4243" spans="1:19" ht="30" customHeight="1" thickBot="1" x14ac:dyDescent="0.4">
      <c r="A4243" s="186"/>
      <c r="B4243" s="1202"/>
      <c r="C4243" s="1203"/>
      <c r="D4243" s="1204"/>
      <c r="E4243" s="520"/>
      <c r="F4243" s="784"/>
      <c r="G4243" s="520"/>
      <c r="H4243" s="750" t="s">
        <v>192</v>
      </c>
      <c r="I4243" s="503"/>
      <c r="J4243" s="494" t="s">
        <v>37</v>
      </c>
      <c r="K4243" s="190">
        <f>AVERAGE(K4241:K4242)</f>
        <v>85.349183974436386</v>
      </c>
      <c r="L4243" s="401" t="s">
        <v>1751</v>
      </c>
      <c r="N4243" s="50"/>
      <c r="O4243" s="5"/>
      <c r="P4243" s="9"/>
      <c r="Q4243" s="34"/>
      <c r="R4243" s="5"/>
      <c r="S4243" s="35"/>
    </row>
    <row r="4244" spans="1:19" ht="30" customHeight="1" thickBot="1" x14ac:dyDescent="0.4">
      <c r="A4244" s="1199"/>
      <c r="B4244" s="1200"/>
      <c r="C4244" s="1200"/>
      <c r="D4244" s="1200"/>
      <c r="E4244" s="1200"/>
      <c r="F4244" s="1200"/>
      <c r="G4244" s="1200"/>
      <c r="H4244" s="1200"/>
      <c r="I4244" s="1200"/>
      <c r="J4244" s="1200"/>
      <c r="K4244" s="1200"/>
      <c r="L4244" s="1201"/>
      <c r="O4244" s="5"/>
      <c r="P4244" s="9"/>
      <c r="Q4244" s="34"/>
      <c r="R4244" s="5"/>
      <c r="S4244" s="35"/>
    </row>
    <row r="4245" spans="1:19" ht="30" customHeight="1" x14ac:dyDescent="0.35">
      <c r="A4245" s="388" t="s">
        <v>1</v>
      </c>
      <c r="B4245" s="389">
        <v>8511</v>
      </c>
      <c r="C4245" s="1290" t="s">
        <v>1825</v>
      </c>
      <c r="D4245" s="1291"/>
      <c r="E4245" s="392" t="s">
        <v>3</v>
      </c>
      <c r="F4245" s="393" t="s">
        <v>4</v>
      </c>
      <c r="G4245" s="390" t="s">
        <v>38</v>
      </c>
      <c r="H4245" s="135">
        <v>23815.856126482799</v>
      </c>
      <c r="I4245" s="392" t="s">
        <v>5</v>
      </c>
      <c r="J4245" s="1207" t="s">
        <v>2828</v>
      </c>
      <c r="K4245" s="1207"/>
      <c r="L4245" s="1208"/>
      <c r="M4245" s="98"/>
      <c r="O4245" s="5"/>
      <c r="P4245" s="9"/>
      <c r="Q4245" s="34"/>
      <c r="R4245" s="5"/>
      <c r="S4245" s="35"/>
    </row>
    <row r="4246" spans="1:19" ht="30" customHeight="1" x14ac:dyDescent="0.35">
      <c r="A4246" s="185" t="s">
        <v>177</v>
      </c>
      <c r="B4246" s="1272" t="s">
        <v>7</v>
      </c>
      <c r="C4246" s="1272"/>
      <c r="D4246" s="1272"/>
      <c r="E4246" s="397" t="s">
        <v>52</v>
      </c>
      <c r="F4246" s="185" t="s">
        <v>9</v>
      </c>
      <c r="G4246" s="1292" t="s">
        <v>54</v>
      </c>
      <c r="H4246" s="1293"/>
      <c r="I4246" s="1221" t="s">
        <v>179</v>
      </c>
      <c r="J4246" s="1222"/>
      <c r="K4246" s="1209" t="s">
        <v>180</v>
      </c>
      <c r="L4246" s="1210"/>
      <c r="M4246" s="96"/>
      <c r="N4246" s="50"/>
      <c r="O4246" s="5"/>
      <c r="P4246" s="9"/>
      <c r="Q4246" s="34"/>
      <c r="R4246" s="5"/>
      <c r="S4246" s="35"/>
    </row>
    <row r="4247" spans="1:19" ht="30" customHeight="1" x14ac:dyDescent="0.35">
      <c r="A4247" s="876"/>
      <c r="B4247" s="1389" t="s">
        <v>1826</v>
      </c>
      <c r="C4247" s="1390"/>
      <c r="D4247" s="1391"/>
      <c r="E4247" s="756"/>
      <c r="F4247" s="876"/>
      <c r="G4247" s="756"/>
      <c r="H4247" s="754"/>
      <c r="I4247" s="530"/>
      <c r="J4247" s="126"/>
      <c r="K4247" s="388"/>
      <c r="L4247" s="571"/>
      <c r="O4247" s="5"/>
      <c r="P4247" s="9"/>
      <c r="Q4247" s="34"/>
      <c r="R4247" s="5"/>
      <c r="S4247" s="35"/>
    </row>
    <row r="4248" spans="1:19" ht="30" customHeight="1" x14ac:dyDescent="0.35">
      <c r="A4248" s="186">
        <v>93210</v>
      </c>
      <c r="B4248" s="1347" t="s">
        <v>1322</v>
      </c>
      <c r="C4248" s="1348"/>
      <c r="D4248" s="1349"/>
      <c r="E4248" s="194">
        <v>6.42</v>
      </c>
      <c r="F4248" s="203" t="s">
        <v>2615</v>
      </c>
      <c r="G4248" s="226">
        <v>0.33300000000000002</v>
      </c>
      <c r="H4248" s="136" t="s">
        <v>1827</v>
      </c>
      <c r="I4248" s="1307">
        <f>+'FY2024 MILCON Inflation Table'!F22</f>
        <v>0.95834826759383673</v>
      </c>
      <c r="J4248" s="1308"/>
      <c r="K4248" s="199">
        <f>+E4248*G4248*I4248</f>
        <v>2.0488144273581597</v>
      </c>
      <c r="L4248" s="401" t="s">
        <v>4</v>
      </c>
      <c r="M4248" s="10"/>
      <c r="O4248" s="5"/>
      <c r="P4248" s="9"/>
      <c r="Q4248" s="34"/>
      <c r="R4248" s="5"/>
      <c r="S4248" s="35"/>
    </row>
    <row r="4249" spans="1:19" ht="30" customHeight="1" x14ac:dyDescent="0.35">
      <c r="A4249" s="186">
        <v>93410</v>
      </c>
      <c r="B4249" s="1212" t="s">
        <v>2616</v>
      </c>
      <c r="C4249" s="1213"/>
      <c r="D4249" s="1214"/>
      <c r="E4249" s="194">
        <v>11.04</v>
      </c>
      <c r="F4249" s="203" t="s">
        <v>1828</v>
      </c>
      <c r="G4249" s="226">
        <v>0.33300000000000002</v>
      </c>
      <c r="H4249" s="136" t="s">
        <v>1827</v>
      </c>
      <c r="I4249" s="1307">
        <f>+I4248</f>
        <v>0.95834826759383673</v>
      </c>
      <c r="J4249" s="1308"/>
      <c r="K4249" s="199">
        <f>+E4249*G4249*I4249</f>
        <v>3.523194903120574</v>
      </c>
      <c r="L4249" s="401" t="s">
        <v>4</v>
      </c>
      <c r="M4249" s="10"/>
      <c r="O4249" s="5"/>
      <c r="P4249" s="9"/>
      <c r="Q4249" s="34"/>
      <c r="R4249" s="5"/>
      <c r="S4249" s="35"/>
    </row>
    <row r="4250" spans="1:19" ht="30" customHeight="1" x14ac:dyDescent="0.35">
      <c r="A4250" s="186">
        <v>85110</v>
      </c>
      <c r="B4250" s="1347" t="s">
        <v>1830</v>
      </c>
      <c r="C4250" s="1348"/>
      <c r="D4250" s="1349"/>
      <c r="E4250" s="194">
        <v>25.98</v>
      </c>
      <c r="F4250" s="203" t="s">
        <v>4</v>
      </c>
      <c r="G4250" s="149"/>
      <c r="H4250" s="136"/>
      <c r="I4250" s="1307">
        <f>+I4249</f>
        <v>0.95834826759383673</v>
      </c>
      <c r="J4250" s="1308"/>
      <c r="K4250" s="199">
        <f>+E4250*I4250</f>
        <v>24.897887992087878</v>
      </c>
      <c r="L4250" s="401" t="s">
        <v>4</v>
      </c>
    </row>
    <row r="4251" spans="1:19" ht="30" customHeight="1" x14ac:dyDescent="0.35">
      <c r="A4251" s="186">
        <v>85110</v>
      </c>
      <c r="B4251" s="1212" t="s">
        <v>1831</v>
      </c>
      <c r="C4251" s="1213"/>
      <c r="D4251" s="1214"/>
      <c r="E4251" s="194">
        <v>5.45</v>
      </c>
      <c r="F4251" s="203" t="s">
        <v>4</v>
      </c>
      <c r="G4251" s="143"/>
      <c r="H4251" s="136"/>
      <c r="I4251" s="1307">
        <f>+I4249</f>
        <v>0.95834826759383673</v>
      </c>
      <c r="J4251" s="1308"/>
      <c r="K4251" s="199">
        <f>+E4251*I4251</f>
        <v>5.22299805838641</v>
      </c>
      <c r="L4251" s="401" t="s">
        <v>4</v>
      </c>
      <c r="O4251" s="5"/>
      <c r="P4251" s="9"/>
      <c r="Q4251" s="34"/>
      <c r="R4251" s="5"/>
      <c r="S4251" s="35"/>
    </row>
    <row r="4252" spans="1:19" ht="30" customHeight="1" x14ac:dyDescent="0.35">
      <c r="A4252" s="186">
        <v>85110</v>
      </c>
      <c r="B4252" s="1212" t="s">
        <v>2617</v>
      </c>
      <c r="C4252" s="1213"/>
      <c r="D4252" s="1214"/>
      <c r="E4252" s="194">
        <v>44.18</v>
      </c>
      <c r="F4252" s="203" t="s">
        <v>4</v>
      </c>
      <c r="G4252" s="143"/>
      <c r="H4252" s="136"/>
      <c r="I4252" s="1307">
        <f>+I4249</f>
        <v>0.95834826759383673</v>
      </c>
      <c r="J4252" s="1308"/>
      <c r="K4252" s="199">
        <f>+E4252*I4252</f>
        <v>42.339826462295704</v>
      </c>
      <c r="L4252" s="401" t="s">
        <v>4</v>
      </c>
      <c r="O4252" s="5"/>
      <c r="P4252" s="9"/>
      <c r="Q4252" s="34"/>
      <c r="R4252" s="5"/>
      <c r="S4252" s="35"/>
    </row>
    <row r="4253" spans="1:19" ht="30" customHeight="1" x14ac:dyDescent="0.35">
      <c r="A4253" s="186"/>
      <c r="B4253" s="552"/>
      <c r="C4253" s="553"/>
      <c r="D4253" s="554"/>
      <c r="E4253" s="129"/>
      <c r="F4253" s="143"/>
      <c r="G4253" s="143"/>
      <c r="H4253" s="136"/>
      <c r="I4253" s="915"/>
      <c r="J4253" s="752" t="s">
        <v>1826</v>
      </c>
      <c r="K4253" s="199">
        <f>SUM(K4248:K4252)</f>
        <v>78.032721843248723</v>
      </c>
      <c r="L4253" s="401" t="s">
        <v>4</v>
      </c>
      <c r="N4253" s="50"/>
      <c r="O4253" s="5"/>
      <c r="P4253" s="9"/>
      <c r="Q4253" s="34"/>
      <c r="R4253" s="5"/>
      <c r="S4253" s="35"/>
    </row>
    <row r="4254" spans="1:19" ht="30" customHeight="1" x14ac:dyDescent="0.35">
      <c r="A4254" s="186"/>
      <c r="B4254" s="1389" t="s">
        <v>1832</v>
      </c>
      <c r="C4254" s="1390"/>
      <c r="D4254" s="1391"/>
      <c r="E4254" s="129"/>
      <c r="F4254" s="143"/>
      <c r="G4254" s="143"/>
      <c r="H4254" s="136"/>
      <c r="I4254" s="915"/>
      <c r="J4254" s="916"/>
      <c r="K4254" s="189"/>
      <c r="L4254" s="401"/>
      <c r="O4254" s="5"/>
      <c r="P4254" s="9"/>
      <c r="Q4254" s="34"/>
      <c r="R4254" s="5"/>
      <c r="S4254" s="35"/>
    </row>
    <row r="4255" spans="1:19" ht="30" customHeight="1" x14ac:dyDescent="0.35">
      <c r="A4255" s="186">
        <v>93210</v>
      </c>
      <c r="B4255" s="1347" t="s">
        <v>1322</v>
      </c>
      <c r="C4255" s="1348"/>
      <c r="D4255" s="1349"/>
      <c r="E4255" s="194">
        <f>+E4248</f>
        <v>6.42</v>
      </c>
      <c r="F4255" s="203" t="s">
        <v>2615</v>
      </c>
      <c r="G4255" s="226">
        <v>0.33300000000000002</v>
      </c>
      <c r="H4255" s="136" t="s">
        <v>1827</v>
      </c>
      <c r="I4255" s="1307">
        <f>+I4248</f>
        <v>0.95834826759383673</v>
      </c>
      <c r="J4255" s="1308"/>
      <c r="K4255" s="199">
        <f>+E4255*G4255*I4255</f>
        <v>2.0488144273581597</v>
      </c>
      <c r="L4255" s="401" t="s">
        <v>4</v>
      </c>
      <c r="O4255" s="5"/>
      <c r="P4255" s="9"/>
      <c r="Q4255" s="34"/>
      <c r="R4255" s="5"/>
      <c r="S4255" s="35"/>
    </row>
    <row r="4256" spans="1:19" ht="30" customHeight="1" x14ac:dyDescent="0.35">
      <c r="A4256" s="186">
        <v>93410</v>
      </c>
      <c r="B4256" s="1212" t="s">
        <v>2616</v>
      </c>
      <c r="C4256" s="1213"/>
      <c r="D4256" s="1214"/>
      <c r="E4256" s="194">
        <v>11.04</v>
      </c>
      <c r="F4256" s="203" t="s">
        <v>1828</v>
      </c>
      <c r="G4256" s="226">
        <v>0.33300000000000002</v>
      </c>
      <c r="H4256" s="136" t="s">
        <v>1829</v>
      </c>
      <c r="I4256" s="1307">
        <f>+I4248</f>
        <v>0.95834826759383673</v>
      </c>
      <c r="J4256" s="1308"/>
      <c r="K4256" s="199">
        <f>+E4256*G4256*I4256</f>
        <v>3.523194903120574</v>
      </c>
      <c r="L4256" s="401" t="s">
        <v>4</v>
      </c>
      <c r="O4256" s="5"/>
      <c r="P4256" s="9"/>
      <c r="Q4256" s="34"/>
      <c r="R4256" s="5"/>
      <c r="S4256" s="35"/>
    </row>
    <row r="4257" spans="1:20" ht="30" customHeight="1" x14ac:dyDescent="0.35">
      <c r="A4257" s="186">
        <v>85110</v>
      </c>
      <c r="B4257" s="1347" t="s">
        <v>1830</v>
      </c>
      <c r="C4257" s="1348"/>
      <c r="D4257" s="1349"/>
      <c r="E4257" s="194">
        <v>25.98</v>
      </c>
      <c r="F4257" s="203" t="s">
        <v>4</v>
      </c>
      <c r="G4257" s="149"/>
      <c r="H4257" s="136"/>
      <c r="I4257" s="1307">
        <f>+I4248</f>
        <v>0.95834826759383673</v>
      </c>
      <c r="J4257" s="1308"/>
      <c r="K4257" s="199">
        <f>+E4257*I4257</f>
        <v>24.897887992087878</v>
      </c>
      <c r="L4257" s="401" t="s">
        <v>4</v>
      </c>
      <c r="O4257" s="5"/>
      <c r="P4257" s="9"/>
      <c r="Q4257" s="34"/>
      <c r="R4257" s="5"/>
      <c r="S4257" s="35"/>
    </row>
    <row r="4258" spans="1:20" ht="30" customHeight="1" x14ac:dyDescent="0.35">
      <c r="A4258" s="186">
        <v>85110</v>
      </c>
      <c r="B4258" s="1389" t="s">
        <v>1834</v>
      </c>
      <c r="C4258" s="1390"/>
      <c r="D4258" s="1391"/>
      <c r="E4258" s="194">
        <v>122.44</v>
      </c>
      <c r="F4258" s="203" t="s">
        <v>4</v>
      </c>
      <c r="G4258" s="143"/>
      <c r="H4258" s="136"/>
      <c r="I4258" s="1307">
        <f>+I4248</f>
        <v>0.95834826759383673</v>
      </c>
      <c r="J4258" s="1308"/>
      <c r="K4258" s="199">
        <f>+E4258*I4258</f>
        <v>117.34016188418937</v>
      </c>
      <c r="L4258" s="401" t="s">
        <v>4</v>
      </c>
      <c r="M4258" s="98"/>
      <c r="O4258" s="5"/>
      <c r="P4258" s="9"/>
      <c r="Q4258" s="34"/>
      <c r="R4258" s="5"/>
      <c r="S4258" s="35"/>
    </row>
    <row r="4259" spans="1:20" ht="30" customHeight="1" x14ac:dyDescent="0.35">
      <c r="A4259" s="717"/>
      <c r="B4259" s="718"/>
      <c r="C4259" s="718"/>
      <c r="D4259" s="438"/>
      <c r="E4259" s="129"/>
      <c r="F4259" s="143"/>
      <c r="G4259" s="143"/>
      <c r="H4259" s="136"/>
      <c r="I4259" s="751"/>
      <c r="J4259" s="752" t="s">
        <v>1832</v>
      </c>
      <c r="K4259" s="199">
        <f>SUM(K4255:K4258)</f>
        <v>147.81005920675597</v>
      </c>
      <c r="L4259" s="401" t="s">
        <v>4</v>
      </c>
      <c r="O4259" s="5"/>
      <c r="P4259" s="9"/>
      <c r="Q4259" s="34"/>
      <c r="R4259" s="5"/>
      <c r="S4259" s="35"/>
    </row>
    <row r="4260" spans="1:20" ht="30" customHeight="1" x14ac:dyDescent="0.35">
      <c r="A4260" s="758"/>
      <c r="B4260" s="759"/>
      <c r="C4260" s="759"/>
      <c r="D4260" s="760"/>
      <c r="E4260" s="129"/>
      <c r="F4260" s="143"/>
      <c r="G4260" s="143"/>
      <c r="H4260" s="136"/>
      <c r="I4260" s="751"/>
      <c r="J4260" s="1151" t="s">
        <v>240</v>
      </c>
      <c r="K4260" s="199">
        <f>+(K4253*0.816)+(K4259*0.184)</f>
        <v>90.871751918134052</v>
      </c>
      <c r="L4260" s="401" t="s">
        <v>4</v>
      </c>
      <c r="N4260" s="98"/>
      <c r="S4260" s="10"/>
      <c r="T4260" s="10"/>
    </row>
    <row r="4261" spans="1:20" ht="30" customHeight="1" x14ac:dyDescent="0.35">
      <c r="A4261" s="186">
        <v>85110</v>
      </c>
      <c r="B4261" s="1212" t="s">
        <v>1835</v>
      </c>
      <c r="C4261" s="1213"/>
      <c r="D4261" s="1214"/>
      <c r="E4261" s="194">
        <v>89.88</v>
      </c>
      <c r="F4261" s="203" t="s">
        <v>28</v>
      </c>
      <c r="G4261" s="156">
        <f>2.66666666666667*2</f>
        <v>5.3333333333333401</v>
      </c>
      <c r="H4261" s="136" t="s">
        <v>1836</v>
      </c>
      <c r="I4261" s="1307">
        <f>+I4248</f>
        <v>0.95834826759383673</v>
      </c>
      <c r="J4261" s="1308"/>
      <c r="K4261" s="199">
        <f>+E4261/G4261*I4261</f>
        <v>16.150564179625114</v>
      </c>
      <c r="L4261" s="401" t="s">
        <v>4</v>
      </c>
      <c r="N4261" s="98"/>
      <c r="S4261" s="10"/>
      <c r="T4261" s="10"/>
    </row>
    <row r="4262" spans="1:20" ht="30" customHeight="1" x14ac:dyDescent="0.35">
      <c r="A4262" s="755">
        <v>85110</v>
      </c>
      <c r="B4262" s="1511" t="s">
        <v>1837</v>
      </c>
      <c r="C4262" s="1521"/>
      <c r="D4262" s="1237"/>
      <c r="E4262" s="194">
        <v>0.97</v>
      </c>
      <c r="F4262" s="203" t="s">
        <v>28</v>
      </c>
      <c r="G4262" s="156">
        <v>2.67</v>
      </c>
      <c r="H4262" s="136" t="s">
        <v>1836</v>
      </c>
      <c r="I4262" s="1307">
        <f>+I4248</f>
        <v>0.95834826759383673</v>
      </c>
      <c r="J4262" s="1308"/>
      <c r="K4262" s="199">
        <f>+E4262/G4262*I4262</f>
        <v>0.34816397736555116</v>
      </c>
      <c r="L4262" s="401" t="s">
        <v>4</v>
      </c>
      <c r="N4262" s="98"/>
      <c r="O4262" s="5"/>
      <c r="P4262" s="9"/>
      <c r="Q4262" s="34"/>
      <c r="R4262" s="5"/>
      <c r="S4262" s="35"/>
    </row>
    <row r="4263" spans="1:20" ht="30" customHeight="1" x14ac:dyDescent="0.35">
      <c r="A4263" s="5" t="s">
        <v>2619</v>
      </c>
      <c r="B4263" s="1511" t="s">
        <v>2620</v>
      </c>
      <c r="C4263" s="1521"/>
      <c r="D4263" s="1237"/>
      <c r="E4263" s="320">
        <v>49</v>
      </c>
      <c r="F4263" s="203" t="s">
        <v>28</v>
      </c>
      <c r="G4263" s="156">
        <v>2.67</v>
      </c>
      <c r="H4263" s="136" t="s">
        <v>1836</v>
      </c>
      <c r="I4263" s="1400">
        <v>1</v>
      </c>
      <c r="J4263" s="1401"/>
      <c r="K4263" s="199">
        <f>+E4263/G4263*I4263</f>
        <v>18.352059925093634</v>
      </c>
      <c r="L4263" s="401" t="s">
        <v>4</v>
      </c>
      <c r="N4263" s="98"/>
      <c r="O4263" s="5"/>
      <c r="P4263" s="9"/>
      <c r="Q4263" s="34"/>
      <c r="R4263" s="5"/>
      <c r="S4263" s="35"/>
    </row>
    <row r="4264" spans="1:20" ht="30" customHeight="1" thickBot="1" x14ac:dyDescent="0.4">
      <c r="A4264" s="1797" t="s">
        <v>2618</v>
      </c>
      <c r="B4264" s="1797"/>
      <c r="C4264" s="1797"/>
      <c r="D4264" s="1797"/>
      <c r="E4264" s="1152"/>
      <c r="F4264" s="1153"/>
      <c r="G4264" s="1152"/>
      <c r="H4264" s="1021" t="s">
        <v>223</v>
      </c>
      <c r="I4264" s="510"/>
      <c r="J4264" s="1154" t="s">
        <v>37</v>
      </c>
      <c r="K4264" s="310">
        <f>+K4260+K4261+K4262+K4263</f>
        <v>125.72254000021834</v>
      </c>
      <c r="L4264" s="605" t="s">
        <v>4</v>
      </c>
      <c r="N4264" s="98"/>
      <c r="O4264" s="5"/>
      <c r="P4264" s="9"/>
      <c r="Q4264" s="34"/>
      <c r="R4264" s="5"/>
      <c r="S4264" s="35"/>
    </row>
    <row r="4265" spans="1:20" ht="30" customHeight="1" thickBot="1" x14ac:dyDescent="0.4">
      <c r="A4265" s="1199"/>
      <c r="B4265" s="1200"/>
      <c r="C4265" s="1200"/>
      <c r="D4265" s="1200"/>
      <c r="E4265" s="1200"/>
      <c r="F4265" s="1200"/>
      <c r="G4265" s="1200"/>
      <c r="H4265" s="1200"/>
      <c r="I4265" s="1200"/>
      <c r="J4265" s="1200"/>
      <c r="K4265" s="1200"/>
      <c r="L4265" s="1201"/>
      <c r="M4265" s="50"/>
      <c r="N4265" s="98"/>
      <c r="O4265" s="5"/>
      <c r="P4265" s="9"/>
      <c r="Q4265" s="34"/>
      <c r="R4265" s="5"/>
      <c r="S4265" s="35"/>
    </row>
    <row r="4266" spans="1:20" ht="30" customHeight="1" x14ac:dyDescent="0.35">
      <c r="A4266" s="388" t="s">
        <v>1</v>
      </c>
      <c r="B4266" s="389">
        <v>8512</v>
      </c>
      <c r="C4266" s="1290" t="s">
        <v>1838</v>
      </c>
      <c r="D4266" s="1291"/>
      <c r="E4266" s="392" t="s">
        <v>3</v>
      </c>
      <c r="F4266" s="393" t="s">
        <v>4</v>
      </c>
      <c r="G4266" s="390" t="s">
        <v>38</v>
      </c>
      <c r="H4266" s="135">
        <v>60028.8481367395</v>
      </c>
      <c r="I4266" s="392" t="s">
        <v>5</v>
      </c>
      <c r="J4266" s="1207" t="s">
        <v>2538</v>
      </c>
      <c r="K4266" s="1207"/>
      <c r="L4266" s="1208"/>
      <c r="M4266" s="98"/>
      <c r="N4266" s="98"/>
      <c r="O4266" s="5"/>
      <c r="P4266" s="9"/>
      <c r="Q4266" s="34"/>
      <c r="R4266" s="5"/>
      <c r="S4266" s="35"/>
    </row>
    <row r="4267" spans="1:20" ht="30" customHeight="1" x14ac:dyDescent="0.35">
      <c r="A4267" s="185" t="s">
        <v>177</v>
      </c>
      <c r="B4267" s="1272" t="s">
        <v>7</v>
      </c>
      <c r="C4267" s="1272"/>
      <c r="D4267" s="1272"/>
      <c r="E4267" s="397" t="s">
        <v>52</v>
      </c>
      <c r="F4267" s="185" t="s">
        <v>9</v>
      </c>
      <c r="G4267" s="1292" t="s">
        <v>54</v>
      </c>
      <c r="H4267" s="1293"/>
      <c r="I4267" s="1221" t="s">
        <v>179</v>
      </c>
      <c r="J4267" s="1222"/>
      <c r="K4267" s="1209" t="s">
        <v>180</v>
      </c>
      <c r="L4267" s="1210"/>
      <c r="M4267" s="163"/>
      <c r="N4267" s="98"/>
      <c r="O4267" s="5"/>
      <c r="P4267" s="9"/>
      <c r="Q4267" s="34"/>
      <c r="R4267" s="5"/>
      <c r="S4267" s="35"/>
    </row>
    <row r="4268" spans="1:20" ht="30" customHeight="1" x14ac:dyDescent="0.35">
      <c r="A4268" s="186">
        <v>93210</v>
      </c>
      <c r="B4268" s="1347" t="s">
        <v>1322</v>
      </c>
      <c r="C4268" s="1348"/>
      <c r="D4268" s="1349"/>
      <c r="E4268" s="194">
        <f>+E4248</f>
        <v>6.42</v>
      </c>
      <c r="F4268" s="203" t="s">
        <v>2615</v>
      </c>
      <c r="G4268" s="226">
        <v>0.33300000000000002</v>
      </c>
      <c r="H4268" s="136" t="s">
        <v>1827</v>
      </c>
      <c r="I4268" s="1307">
        <f>+'FY2024 MILCON Inflation Table'!F22</f>
        <v>0.95834826759383673</v>
      </c>
      <c r="J4268" s="1308"/>
      <c r="K4268" s="199">
        <f>+E4268*G4268*I4268</f>
        <v>2.0488144273581597</v>
      </c>
      <c r="L4268" s="401" t="s">
        <v>4</v>
      </c>
      <c r="M4268" s="10"/>
      <c r="N4268" s="98"/>
    </row>
    <row r="4269" spans="1:20" ht="30" customHeight="1" x14ac:dyDescent="0.35">
      <c r="A4269" s="186">
        <v>93210</v>
      </c>
      <c r="B4269" s="1347" t="s">
        <v>1839</v>
      </c>
      <c r="C4269" s="1348"/>
      <c r="D4269" s="1349"/>
      <c r="E4269" s="194">
        <v>5.84</v>
      </c>
      <c r="F4269" s="203" t="s">
        <v>4</v>
      </c>
      <c r="G4269" s="203"/>
      <c r="H4269" s="136"/>
      <c r="I4269" s="1307">
        <f>+I4268</f>
        <v>0.95834826759383673</v>
      </c>
      <c r="J4269" s="1308"/>
      <c r="K4269" s="199">
        <f>+E4269*I4269</f>
        <v>5.5967538827480068</v>
      </c>
      <c r="L4269" s="401" t="s">
        <v>4</v>
      </c>
      <c r="N4269" s="98"/>
      <c r="O4269" s="5"/>
      <c r="P4269" s="9"/>
      <c r="Q4269" s="34"/>
      <c r="R4269" s="5"/>
      <c r="S4269" s="35"/>
    </row>
    <row r="4270" spans="1:20" ht="30" customHeight="1" x14ac:dyDescent="0.35">
      <c r="A4270" s="186">
        <v>85110</v>
      </c>
      <c r="B4270" s="1347" t="s">
        <v>1830</v>
      </c>
      <c r="C4270" s="1348"/>
      <c r="D4270" s="1349"/>
      <c r="E4270" s="194">
        <v>25.98</v>
      </c>
      <c r="F4270" s="203" t="s">
        <v>4</v>
      </c>
      <c r="G4270" s="203"/>
      <c r="H4270" s="136"/>
      <c r="I4270" s="1307">
        <f>+I4268</f>
        <v>0.95834826759383673</v>
      </c>
      <c r="J4270" s="1308"/>
      <c r="K4270" s="199">
        <f>+E4270*I4270</f>
        <v>24.897887992087878</v>
      </c>
      <c r="L4270" s="401" t="s">
        <v>4</v>
      </c>
      <c r="N4270" s="98"/>
      <c r="O4270" s="5"/>
      <c r="P4270" s="9"/>
      <c r="Q4270" s="34"/>
      <c r="R4270" s="5"/>
      <c r="S4270" s="35"/>
    </row>
    <row r="4271" spans="1:20" ht="30" customHeight="1" thickBot="1" x14ac:dyDescent="0.4">
      <c r="A4271" s="186"/>
      <c r="B4271" s="1212" t="s">
        <v>1840</v>
      </c>
      <c r="C4271" s="1213"/>
      <c r="D4271" s="1214"/>
      <c r="E4271" s="520"/>
      <c r="F4271" s="784"/>
      <c r="G4271" s="520"/>
      <c r="H4271" s="750"/>
      <c r="I4271" s="186" t="s">
        <v>223</v>
      </c>
      <c r="J4271" s="494" t="s">
        <v>37</v>
      </c>
      <c r="K4271" s="190">
        <f>SUM(K4268:K4270)</f>
        <v>32.543456302194045</v>
      </c>
      <c r="L4271" s="401" t="s">
        <v>4</v>
      </c>
      <c r="N4271" s="98"/>
      <c r="O4271" s="5"/>
      <c r="P4271" s="9"/>
      <c r="Q4271" s="34"/>
      <c r="R4271" s="5"/>
      <c r="S4271" s="35"/>
    </row>
    <row r="4272" spans="1:20" ht="30" customHeight="1" thickBot="1" x14ac:dyDescent="0.4">
      <c r="A4272" s="1199"/>
      <c r="B4272" s="1200"/>
      <c r="C4272" s="1200"/>
      <c r="D4272" s="1200"/>
      <c r="E4272" s="1200"/>
      <c r="F4272" s="1200"/>
      <c r="G4272" s="1200"/>
      <c r="H4272" s="1200"/>
      <c r="I4272" s="1200"/>
      <c r="J4272" s="1200"/>
      <c r="K4272" s="1200"/>
      <c r="L4272" s="1201"/>
      <c r="O4272" s="5"/>
      <c r="P4272" s="9"/>
      <c r="Q4272" s="34"/>
      <c r="R4272" s="5"/>
      <c r="S4272" s="35"/>
    </row>
    <row r="4273" spans="1:19" ht="30" customHeight="1" x14ac:dyDescent="0.35">
      <c r="A4273" s="388" t="s">
        <v>1</v>
      </c>
      <c r="B4273" s="389">
        <v>8513</v>
      </c>
      <c r="C4273" s="1205" t="s">
        <v>1841</v>
      </c>
      <c r="D4273" s="1206"/>
      <c r="E4273" s="392" t="s">
        <v>3</v>
      </c>
      <c r="F4273" s="393" t="s">
        <v>4</v>
      </c>
      <c r="G4273" s="390" t="s">
        <v>38</v>
      </c>
      <c r="H4273" s="132">
        <v>375.24024759793002</v>
      </c>
      <c r="I4273" s="392" t="s">
        <v>5</v>
      </c>
      <c r="J4273" s="1207" t="s">
        <v>2481</v>
      </c>
      <c r="K4273" s="1207"/>
      <c r="L4273" s="1208"/>
      <c r="N4273" s="10"/>
      <c r="O4273" s="5"/>
      <c r="P4273" s="9"/>
      <c r="Q4273" s="34"/>
      <c r="R4273" s="5"/>
      <c r="S4273" s="35"/>
    </row>
    <row r="4274" spans="1:19" ht="30" customHeight="1" x14ac:dyDescent="0.35">
      <c r="A4274" s="571" t="s">
        <v>187</v>
      </c>
      <c r="B4274" s="1288" t="s">
        <v>211</v>
      </c>
      <c r="C4274" s="1599"/>
      <c r="D4274" s="1289"/>
      <c r="E4274" s="442" t="s">
        <v>52</v>
      </c>
      <c r="F4274" s="442" t="s">
        <v>53</v>
      </c>
      <c r="G4274" s="1600" t="s">
        <v>54</v>
      </c>
      <c r="H4274" s="1601"/>
      <c r="I4274" s="876" t="s">
        <v>188</v>
      </c>
      <c r="J4274" s="876"/>
      <c r="K4274" s="1590" t="s">
        <v>180</v>
      </c>
      <c r="L4274" s="1591"/>
      <c r="N4274" s="10"/>
      <c r="O4274" s="5"/>
      <c r="P4274" s="9"/>
      <c r="Q4274" s="34"/>
      <c r="R4274" s="5"/>
      <c r="S4274" s="35"/>
    </row>
    <row r="4275" spans="1:19" ht="30" customHeight="1" x14ac:dyDescent="0.35">
      <c r="A4275" s="401" t="s">
        <v>341</v>
      </c>
      <c r="B4275" s="1389" t="s">
        <v>1842</v>
      </c>
      <c r="C4275" s="1390"/>
      <c r="D4275" s="1391"/>
      <c r="E4275" s="359">
        <f>+(91+310)/2</f>
        <v>200.5</v>
      </c>
      <c r="F4275" s="443" t="s">
        <v>108</v>
      </c>
      <c r="G4275" s="65">
        <v>9</v>
      </c>
      <c r="H4275" s="1155" t="s">
        <v>387</v>
      </c>
      <c r="I4275" s="401">
        <v>1.1100000000000001</v>
      </c>
      <c r="J4275" s="443"/>
      <c r="K4275" s="187">
        <f>+E4275*G4275*I4275</f>
        <v>2002.9950000000001</v>
      </c>
      <c r="L4275" s="443" t="s">
        <v>4</v>
      </c>
      <c r="O4275" s="5"/>
      <c r="P4275" s="9"/>
      <c r="Q4275" s="34"/>
      <c r="R4275" s="5"/>
      <c r="S4275" s="35"/>
    </row>
    <row r="4276" spans="1:19" ht="30" customHeight="1" x14ac:dyDescent="0.35">
      <c r="A4276" s="186"/>
      <c r="B4276" s="567"/>
      <c r="C4276" s="567"/>
      <c r="D4276" s="567"/>
      <c r="E4276" s="194"/>
      <c r="F4276" s="1215" t="s">
        <v>195</v>
      </c>
      <c r="G4276" s="1273" t="s">
        <v>196</v>
      </c>
      <c r="H4276" s="1273"/>
      <c r="I4276" s="1273"/>
      <c r="J4276" s="1273"/>
      <c r="K4276" s="196">
        <v>1.06</v>
      </c>
      <c r="L4276" s="186"/>
      <c r="O4276" s="5"/>
      <c r="P4276" s="9"/>
      <c r="Q4276" s="34"/>
      <c r="R4276" s="5"/>
      <c r="S4276" s="35"/>
    </row>
    <row r="4277" spans="1:19" ht="30" customHeight="1" x14ac:dyDescent="0.35">
      <c r="A4277" s="186"/>
      <c r="B4277" s="567"/>
      <c r="C4277" s="567"/>
      <c r="D4277" s="567"/>
      <c r="E4277" s="194"/>
      <c r="F4277" s="1216"/>
      <c r="G4277" s="1268" t="s">
        <v>2477</v>
      </c>
      <c r="H4277" s="1268"/>
      <c r="I4277" s="1268"/>
      <c r="J4277" s="1268"/>
      <c r="K4277" s="196">
        <v>1.05</v>
      </c>
      <c r="L4277" s="186"/>
      <c r="O4277" s="15"/>
      <c r="P4277" s="9"/>
      <c r="Q4277" s="34"/>
      <c r="R4277" s="5"/>
      <c r="S4277" s="35"/>
    </row>
    <row r="4278" spans="1:19" ht="30" customHeight="1" x14ac:dyDescent="0.35">
      <c r="A4278" s="186"/>
      <c r="B4278" s="186"/>
      <c r="C4278" s="503"/>
      <c r="D4278" s="503"/>
      <c r="E4278" s="503"/>
      <c r="F4278" s="503"/>
      <c r="G4278" s="503"/>
      <c r="H4278" s="503"/>
      <c r="I4278" s="503"/>
      <c r="J4278" s="186" t="s">
        <v>37</v>
      </c>
      <c r="K4278" s="193">
        <f>+K4275*K4276/K4277</f>
        <v>2022.0711428571428</v>
      </c>
      <c r="L4278" s="186" t="s">
        <v>4</v>
      </c>
      <c r="O4278" s="5"/>
      <c r="P4278" s="9"/>
      <c r="Q4278" s="34"/>
      <c r="R4278" s="5"/>
      <c r="S4278" s="35"/>
    </row>
    <row r="4279" spans="1:19" ht="30" customHeight="1" x14ac:dyDescent="0.35">
      <c r="A4279" s="186"/>
      <c r="B4279" s="186"/>
      <c r="C4279" s="503"/>
      <c r="D4279" s="503"/>
      <c r="E4279" s="503"/>
      <c r="F4279" s="503"/>
      <c r="G4279" s="278"/>
      <c r="H4279" s="503"/>
      <c r="I4279" s="538" t="s">
        <v>257</v>
      </c>
      <c r="J4279" s="560">
        <f>VLOOKUP(B4273,'Mil Cost Premiums for PUCs'!$A$4:$R$285,18,FALSE)</f>
        <v>1.1199953840399997</v>
      </c>
      <c r="K4279" s="193">
        <f>+K4278*J4279</f>
        <v>2264.7103462004866</v>
      </c>
      <c r="L4279" s="186" t="s">
        <v>4</v>
      </c>
      <c r="O4279" s="5"/>
      <c r="P4279" s="9"/>
      <c r="Q4279" s="34"/>
      <c r="R4279" s="5"/>
      <c r="S4279" s="35"/>
    </row>
    <row r="4280" spans="1:19" ht="30" customHeight="1" thickBot="1" x14ac:dyDescent="0.4">
      <c r="A4280" s="186"/>
      <c r="B4280" s="186"/>
      <c r="C4280" s="503"/>
      <c r="D4280" s="503"/>
      <c r="E4280" s="503"/>
      <c r="F4280" s="503"/>
      <c r="H4280" s="503"/>
      <c r="I4280" s="538" t="s">
        <v>3000</v>
      </c>
      <c r="J4280" s="560">
        <v>1.0438745311870361</v>
      </c>
      <c r="K4280" s="193">
        <f>+K4279*J4280</f>
        <v>2364.0734509144631</v>
      </c>
      <c r="L4280" s="186" t="s">
        <v>4</v>
      </c>
      <c r="O4280" s="5"/>
      <c r="P4280" s="9"/>
      <c r="Q4280" s="34"/>
      <c r="R4280" s="5"/>
      <c r="S4280" s="35"/>
    </row>
    <row r="4281" spans="1:19" ht="30" customHeight="1" thickBot="1" x14ac:dyDescent="0.4">
      <c r="A4281" s="1199"/>
      <c r="B4281" s="1200"/>
      <c r="C4281" s="1200"/>
      <c r="D4281" s="1200"/>
      <c r="E4281" s="1200"/>
      <c r="F4281" s="1200"/>
      <c r="G4281" s="1200"/>
      <c r="H4281" s="1200"/>
      <c r="I4281" s="1200"/>
      <c r="J4281" s="1200"/>
      <c r="K4281" s="1200"/>
      <c r="L4281" s="1201"/>
      <c r="O4281" s="5"/>
      <c r="P4281" s="9"/>
      <c r="Q4281" s="34"/>
      <c r="R4281" s="5"/>
      <c r="S4281" s="35"/>
    </row>
    <row r="4282" spans="1:19" ht="30" customHeight="1" x14ac:dyDescent="0.35">
      <c r="A4282" s="388" t="s">
        <v>1</v>
      </c>
      <c r="B4282" s="389">
        <v>8514</v>
      </c>
      <c r="C4282" s="1205" t="s">
        <v>1843</v>
      </c>
      <c r="D4282" s="1206"/>
      <c r="E4282" s="392" t="s">
        <v>3</v>
      </c>
      <c r="F4282" s="393" t="s">
        <v>108</v>
      </c>
      <c r="G4282" s="390" t="s">
        <v>2</v>
      </c>
      <c r="H4282" s="132">
        <v>15000</v>
      </c>
      <c r="I4282" s="392" t="s">
        <v>5</v>
      </c>
      <c r="J4282" s="1207" t="s">
        <v>2481</v>
      </c>
      <c r="K4282" s="1207"/>
      <c r="L4282" s="1208"/>
      <c r="O4282" s="5"/>
      <c r="P4282" s="9"/>
      <c r="Q4282" s="34"/>
      <c r="R4282" s="5"/>
      <c r="S4282" s="35"/>
    </row>
    <row r="4283" spans="1:19" ht="30" customHeight="1" x14ac:dyDescent="0.35">
      <c r="A4283" s="494" t="s">
        <v>187</v>
      </c>
      <c r="B4283" s="1473" t="s">
        <v>211</v>
      </c>
      <c r="C4283" s="1473"/>
      <c r="D4283" s="1473"/>
      <c r="E4283" s="566" t="s">
        <v>52</v>
      </c>
      <c r="F4283" s="566" t="s">
        <v>53</v>
      </c>
      <c r="G4283" s="1219" t="s">
        <v>54</v>
      </c>
      <c r="H4283" s="1220"/>
      <c r="I4283" s="185" t="s">
        <v>188</v>
      </c>
      <c r="J4283" s="185"/>
      <c r="K4283" s="1209" t="s">
        <v>180</v>
      </c>
      <c r="L4283" s="1210"/>
      <c r="N4283" s="50"/>
      <c r="O4283" s="5"/>
      <c r="P4283" s="9"/>
      <c r="Q4283" s="34"/>
      <c r="R4283" s="5"/>
      <c r="S4283" s="35"/>
    </row>
    <row r="4284" spans="1:19" ht="30" customHeight="1" x14ac:dyDescent="0.35">
      <c r="A4284" s="755" t="s">
        <v>1403</v>
      </c>
      <c r="B4284" s="1589" t="s">
        <v>1844</v>
      </c>
      <c r="C4284" s="1589"/>
      <c r="D4284" s="1589"/>
      <c r="E4284" s="167">
        <v>675</v>
      </c>
      <c r="F4284" s="350" t="s">
        <v>108</v>
      </c>
      <c r="G4284" s="168"/>
      <c r="H4284" s="1059"/>
      <c r="I4284" s="755">
        <v>1.1200000000000001</v>
      </c>
      <c r="J4284" s="350"/>
      <c r="K4284" s="193">
        <f>E4284*I4284</f>
        <v>756.00000000000011</v>
      </c>
      <c r="L4284" s="422" t="s">
        <v>108</v>
      </c>
      <c r="P4284" s="9"/>
      <c r="Q4284" s="34"/>
      <c r="R4284" s="5"/>
      <c r="S4284" s="35"/>
    </row>
    <row r="4285" spans="1:19" ht="30" customHeight="1" x14ac:dyDescent="0.35">
      <c r="A4285" s="897"/>
      <c r="B4285" s="908"/>
      <c r="C4285" s="908"/>
      <c r="D4285" s="908"/>
      <c r="E4285" s="180"/>
      <c r="F4285" s="1471" t="s">
        <v>195</v>
      </c>
      <c r="G4285" s="1472" t="s">
        <v>196</v>
      </c>
      <c r="H4285" s="1472"/>
      <c r="I4285" s="1472"/>
      <c r="J4285" s="1472"/>
      <c r="K4285" s="360">
        <v>1.06</v>
      </c>
      <c r="L4285" s="186"/>
      <c r="P4285" s="9"/>
      <c r="Q4285" s="34"/>
      <c r="R4285" s="5"/>
      <c r="S4285" s="35"/>
    </row>
    <row r="4286" spans="1:19" ht="30" customHeight="1" x14ac:dyDescent="0.35">
      <c r="A4286" s="897"/>
      <c r="B4286" s="908"/>
      <c r="C4286" s="908"/>
      <c r="D4286" s="908"/>
      <c r="E4286" s="180"/>
      <c r="F4286" s="1471"/>
      <c r="G4286" s="1268" t="s">
        <v>2477</v>
      </c>
      <c r="H4286" s="1268"/>
      <c r="I4286" s="1268"/>
      <c r="J4286" s="1268"/>
      <c r="K4286" s="360">
        <v>1.05</v>
      </c>
      <c r="L4286" s="186"/>
      <c r="N4286" s="50"/>
      <c r="P4286" s="9"/>
      <c r="Q4286" s="34"/>
      <c r="R4286" s="5"/>
      <c r="S4286" s="35"/>
    </row>
    <row r="4287" spans="1:19" ht="30" customHeight="1" x14ac:dyDescent="0.35">
      <c r="A4287" s="897"/>
      <c r="B4287" s="1603" t="s">
        <v>2684</v>
      </c>
      <c r="C4287" s="1603"/>
      <c r="D4287" s="1603"/>
      <c r="E4287" s="901"/>
      <c r="F4287" s="901"/>
      <c r="G4287" s="905"/>
      <c r="H4287" s="905"/>
      <c r="I4287" s="905"/>
      <c r="J4287" s="897" t="s">
        <v>37</v>
      </c>
      <c r="K4287" s="253">
        <f>+K4284*K4285/K4286</f>
        <v>763.2</v>
      </c>
      <c r="L4287" s="186" t="s">
        <v>108</v>
      </c>
      <c r="P4287" s="9"/>
      <c r="Q4287" s="34"/>
      <c r="R4287" s="5"/>
      <c r="S4287" s="35"/>
    </row>
    <row r="4288" spans="1:19" ht="30" customHeight="1" x14ac:dyDescent="0.35">
      <c r="A4288" s="897"/>
      <c r="B4288" s="1603"/>
      <c r="C4288" s="1603"/>
      <c r="D4288" s="1603"/>
      <c r="E4288" s="901"/>
      <c r="F4288" s="1180"/>
      <c r="G4288" s="1198" t="s">
        <v>257</v>
      </c>
      <c r="H4288" s="1198"/>
      <c r="I4288" s="1198"/>
      <c r="J4288" s="1181">
        <f>VLOOKUP(B4282,'Mil Cost Premiums for PUCs'!$A$4:$R$285,18,FALSE)</f>
        <v>1.1199953840399997</v>
      </c>
      <c r="K4288" s="253">
        <f>+K4287*J4288</f>
        <v>854.78047709932775</v>
      </c>
      <c r="L4288" s="186" t="s">
        <v>108</v>
      </c>
      <c r="N4288" s="10"/>
      <c r="O4288" s="5"/>
      <c r="P4288" s="9"/>
      <c r="Q4288" s="34"/>
      <c r="R4288" s="5"/>
      <c r="S4288" s="35"/>
    </row>
    <row r="4289" spans="1:19" ht="30" customHeight="1" thickBot="1" x14ac:dyDescent="0.4">
      <c r="A4289" s="897"/>
      <c r="B4289" s="1142"/>
      <c r="C4289" s="1142"/>
      <c r="D4289" s="1142"/>
      <c r="E4289" s="901"/>
      <c r="F4289" s="901"/>
      <c r="G4289" s="1191" t="s">
        <v>3000</v>
      </c>
      <c r="H4289" s="1192"/>
      <c r="I4289" s="1193"/>
      <c r="J4289" s="1182">
        <v>1.0438745311870361</v>
      </c>
      <c r="K4289" s="253">
        <f>+K4288*J4289</f>
        <v>892.28356979989178</v>
      </c>
      <c r="L4289" s="186" t="s">
        <v>108</v>
      </c>
      <c r="N4289" s="10"/>
      <c r="P4289" s="9"/>
      <c r="Q4289" s="34"/>
      <c r="R4289" s="5"/>
      <c r="S4289" s="35"/>
    </row>
    <row r="4290" spans="1:19" ht="30" customHeight="1" thickBot="1" x14ac:dyDescent="0.4">
      <c r="A4290" s="1429"/>
      <c r="B4290" s="1430"/>
      <c r="C4290" s="1430"/>
      <c r="D4290" s="1430"/>
      <c r="E4290" s="1430"/>
      <c r="F4290" s="1430"/>
      <c r="G4290" s="1430"/>
      <c r="H4290" s="1430"/>
      <c r="I4290" s="1430"/>
      <c r="J4290" s="1430"/>
      <c r="K4290" s="1430"/>
      <c r="L4290" s="1431"/>
      <c r="P4290" s="9"/>
      <c r="Q4290" s="34"/>
      <c r="R4290" s="5"/>
      <c r="S4290" s="35"/>
    </row>
    <row r="4291" spans="1:19" ht="30" customHeight="1" x14ac:dyDescent="0.35">
      <c r="A4291" s="455" t="s">
        <v>1</v>
      </c>
      <c r="B4291" s="439">
        <v>8521</v>
      </c>
      <c r="C4291" s="1658" t="s">
        <v>1845</v>
      </c>
      <c r="D4291" s="1659"/>
      <c r="E4291" s="456" t="s">
        <v>3</v>
      </c>
      <c r="F4291" s="457" t="s">
        <v>4</v>
      </c>
      <c r="G4291" s="468" t="s">
        <v>38</v>
      </c>
      <c r="H4291" s="47">
        <v>8086.0009489320601</v>
      </c>
      <c r="I4291" s="456" t="s">
        <v>5</v>
      </c>
      <c r="J4291" s="1207" t="s">
        <v>2873</v>
      </c>
      <c r="K4291" s="1207"/>
      <c r="L4291" s="1208"/>
      <c r="M4291" s="99"/>
      <c r="P4291" s="9"/>
      <c r="Q4291" s="34"/>
      <c r="R4291" s="5"/>
      <c r="S4291" s="35"/>
    </row>
    <row r="4292" spans="1:19" ht="30" customHeight="1" x14ac:dyDescent="0.35">
      <c r="A4292" s="185" t="s">
        <v>177</v>
      </c>
      <c r="B4292" s="1272" t="s">
        <v>7</v>
      </c>
      <c r="C4292" s="1272"/>
      <c r="D4292" s="1272"/>
      <c r="E4292" s="492" t="s">
        <v>178</v>
      </c>
      <c r="F4292" s="397" t="s">
        <v>52</v>
      </c>
      <c r="G4292" s="1292" t="s">
        <v>54</v>
      </c>
      <c r="H4292" s="1293"/>
      <c r="I4292" s="1221" t="s">
        <v>179</v>
      </c>
      <c r="J4292" s="1222"/>
      <c r="K4292" s="1209" t="s">
        <v>180</v>
      </c>
      <c r="L4292" s="1210"/>
      <c r="M4292" s="96"/>
      <c r="O4292" s="5"/>
      <c r="P4292" s="9"/>
      <c r="Q4292" s="34"/>
      <c r="R4292" s="5"/>
      <c r="S4292" s="35"/>
    </row>
    <row r="4293" spans="1:19" ht="30" customHeight="1" x14ac:dyDescent="0.35">
      <c r="A4293" s="186">
        <v>85210</v>
      </c>
      <c r="B4293" s="1347" t="s">
        <v>2935</v>
      </c>
      <c r="C4293" s="1348"/>
      <c r="D4293" s="1349"/>
      <c r="E4293" s="203">
        <v>10000</v>
      </c>
      <c r="F4293" s="194">
        <v>120</v>
      </c>
      <c r="G4293" s="226"/>
      <c r="H4293" s="136"/>
      <c r="I4293" s="1307">
        <f>+'FY2024 MILCON Inflation Table'!F23</f>
        <v>0.93863689284411045</v>
      </c>
      <c r="J4293" s="1308"/>
      <c r="K4293" s="199">
        <f>+F4293*I4293</f>
        <v>112.63642714129325</v>
      </c>
      <c r="L4293" s="401" t="s">
        <v>4</v>
      </c>
      <c r="M4293" s="10"/>
      <c r="O4293" s="5"/>
      <c r="P4293" s="9"/>
      <c r="Q4293" s="34"/>
      <c r="R4293" s="5"/>
      <c r="S4293" s="35"/>
    </row>
    <row r="4294" spans="1:19" ht="30" customHeight="1" thickBot="1" x14ac:dyDescent="0.4">
      <c r="A4294" s="503"/>
      <c r="B4294" s="1437"/>
      <c r="C4294" s="1438"/>
      <c r="D4294" s="1439"/>
      <c r="E4294" s="503"/>
      <c r="F4294" s="503"/>
      <c r="G4294" s="503"/>
      <c r="H4294" s="503"/>
      <c r="I4294" s="503"/>
      <c r="J4294" s="494" t="s">
        <v>37</v>
      </c>
      <c r="K4294" s="190">
        <f>SUM(K4293:K4293)</f>
        <v>112.63642714129325</v>
      </c>
      <c r="L4294" s="186" t="s">
        <v>4</v>
      </c>
      <c r="N4294" s="50"/>
      <c r="O4294" s="5"/>
      <c r="P4294" s="9"/>
      <c r="Q4294" s="34"/>
      <c r="R4294" s="5"/>
      <c r="S4294" s="35"/>
    </row>
    <row r="4295" spans="1:19" ht="30" customHeight="1" thickBot="1" x14ac:dyDescent="0.4">
      <c r="A4295" s="1199"/>
      <c r="B4295" s="1200"/>
      <c r="C4295" s="1200"/>
      <c r="D4295" s="1200"/>
      <c r="E4295" s="1200"/>
      <c r="F4295" s="1200"/>
      <c r="G4295" s="1200"/>
      <c r="H4295" s="1200"/>
      <c r="I4295" s="1200"/>
      <c r="J4295" s="1200"/>
      <c r="K4295" s="1200"/>
      <c r="L4295" s="1201"/>
      <c r="O4295" s="5"/>
      <c r="P4295" s="9"/>
      <c r="Q4295" s="34"/>
      <c r="R4295" s="5"/>
      <c r="S4295" s="35"/>
    </row>
    <row r="4296" spans="1:19" ht="30" customHeight="1" x14ac:dyDescent="0.35">
      <c r="A4296" s="388" t="s">
        <v>1</v>
      </c>
      <c r="B4296" s="389">
        <v>8522</v>
      </c>
      <c r="C4296" s="1290" t="s">
        <v>1846</v>
      </c>
      <c r="D4296" s="1291"/>
      <c r="E4296" s="392" t="s">
        <v>3</v>
      </c>
      <c r="F4296" s="393" t="s">
        <v>4</v>
      </c>
      <c r="G4296" s="529" t="s">
        <v>1381</v>
      </c>
      <c r="H4296" s="146">
        <v>7902.1168139826896</v>
      </c>
      <c r="I4296" s="392" t="s">
        <v>5</v>
      </c>
      <c r="J4296" s="1207" t="s">
        <v>2538</v>
      </c>
      <c r="K4296" s="1207"/>
      <c r="L4296" s="1208"/>
      <c r="M4296" s="98"/>
      <c r="N4296" s="10"/>
      <c r="O4296" s="5"/>
      <c r="P4296" s="9"/>
      <c r="Q4296" s="34"/>
      <c r="R4296" s="5"/>
      <c r="S4296" s="35"/>
    </row>
    <row r="4297" spans="1:19" ht="30" customHeight="1" x14ac:dyDescent="0.35">
      <c r="A4297" s="185" t="s">
        <v>177</v>
      </c>
      <c r="B4297" s="1272" t="s">
        <v>7</v>
      </c>
      <c r="C4297" s="1272"/>
      <c r="D4297" s="1272"/>
      <c r="E4297" s="397" t="s">
        <v>52</v>
      </c>
      <c r="F4297" s="185" t="s">
        <v>9</v>
      </c>
      <c r="G4297" s="1292" t="s">
        <v>54</v>
      </c>
      <c r="H4297" s="1293"/>
      <c r="I4297" s="1221" t="s">
        <v>179</v>
      </c>
      <c r="J4297" s="1222"/>
      <c r="K4297" s="1209" t="s">
        <v>180</v>
      </c>
      <c r="L4297" s="1210"/>
      <c r="M4297" s="96"/>
      <c r="N4297" s="10"/>
      <c r="O4297" s="5"/>
      <c r="P4297" s="9"/>
      <c r="Q4297" s="34"/>
      <c r="R4297" s="5"/>
      <c r="S4297" s="35"/>
    </row>
    <row r="4298" spans="1:19" ht="30" customHeight="1" x14ac:dyDescent="0.35">
      <c r="A4298" s="186">
        <v>93210</v>
      </c>
      <c r="B4298" s="1347" t="s">
        <v>1322</v>
      </c>
      <c r="C4298" s="1348"/>
      <c r="D4298" s="1349"/>
      <c r="E4298" s="194">
        <v>6.42</v>
      </c>
      <c r="F4298" s="203" t="s">
        <v>2615</v>
      </c>
      <c r="G4298" s="226">
        <v>0.33300000000000002</v>
      </c>
      <c r="H4298" s="136" t="s">
        <v>1827</v>
      </c>
      <c r="I4298" s="1307">
        <f>+'FY2024 MILCON Inflation Table'!F22</f>
        <v>0.95834826759383673</v>
      </c>
      <c r="J4298" s="1308"/>
      <c r="K4298" s="199">
        <f>+E4298*G4298*I4298</f>
        <v>2.0488144273581597</v>
      </c>
      <c r="L4298" s="401" t="s">
        <v>4</v>
      </c>
      <c r="M4298" s="10"/>
      <c r="N4298" s="10"/>
      <c r="O4298" s="5"/>
      <c r="P4298" s="9"/>
      <c r="Q4298" s="34"/>
      <c r="R4298" s="5"/>
      <c r="S4298" s="35"/>
    </row>
    <row r="4299" spans="1:19" ht="30" customHeight="1" x14ac:dyDescent="0.35">
      <c r="A4299" s="186">
        <v>93410</v>
      </c>
      <c r="B4299" s="1212" t="s">
        <v>2616</v>
      </c>
      <c r="C4299" s="1213"/>
      <c r="D4299" s="1214"/>
      <c r="E4299" s="194">
        <v>11.04</v>
      </c>
      <c r="F4299" s="203" t="s">
        <v>1828</v>
      </c>
      <c r="G4299" s="226">
        <v>0.33300000000000002</v>
      </c>
      <c r="H4299" s="136" t="s">
        <v>1827</v>
      </c>
      <c r="I4299" s="1307">
        <f>+I4298</f>
        <v>0.95834826759383673</v>
      </c>
      <c r="J4299" s="1308"/>
      <c r="K4299" s="199">
        <f>+E4299*G4299*I4299</f>
        <v>3.523194903120574</v>
      </c>
      <c r="L4299" s="401" t="s">
        <v>4</v>
      </c>
      <c r="M4299" s="10"/>
      <c r="O4299" s="5"/>
      <c r="P4299" s="9"/>
      <c r="Q4299" s="34"/>
      <c r="R4299" s="5"/>
      <c r="S4299" s="35"/>
    </row>
    <row r="4300" spans="1:19" ht="30" customHeight="1" x14ac:dyDescent="0.35">
      <c r="A4300" s="186">
        <v>85110</v>
      </c>
      <c r="B4300" s="1347" t="s">
        <v>1830</v>
      </c>
      <c r="C4300" s="1348"/>
      <c r="D4300" s="1349"/>
      <c r="E4300" s="194">
        <v>25.98</v>
      </c>
      <c r="F4300" s="203" t="s">
        <v>4</v>
      </c>
      <c r="G4300" s="149"/>
      <c r="H4300" s="136"/>
      <c r="I4300" s="1307">
        <f>+I4299</f>
        <v>0.95834826759383673</v>
      </c>
      <c r="J4300" s="1308"/>
      <c r="K4300" s="199">
        <f>+E4300*I4300</f>
        <v>24.897887992087878</v>
      </c>
      <c r="L4300" s="401" t="s">
        <v>4</v>
      </c>
      <c r="O4300" s="5"/>
      <c r="P4300" s="9"/>
      <c r="Q4300" s="34"/>
      <c r="R4300" s="5"/>
      <c r="S4300" s="35"/>
    </row>
    <row r="4301" spans="1:19" ht="30" customHeight="1" thickBot="1" x14ac:dyDescent="0.4">
      <c r="A4301" s="503"/>
      <c r="B4301" s="1437"/>
      <c r="C4301" s="1438"/>
      <c r="D4301" s="1439"/>
      <c r="E4301" s="503"/>
      <c r="F4301" s="503"/>
      <c r="G4301" s="503"/>
      <c r="H4301" s="503"/>
      <c r="I4301" s="503"/>
      <c r="J4301" s="494" t="s">
        <v>37</v>
      </c>
      <c r="K4301" s="190">
        <f>SUM(K4298:K4300)</f>
        <v>30.469897322566609</v>
      </c>
      <c r="L4301" s="186" t="s">
        <v>4</v>
      </c>
      <c r="O4301" s="5"/>
      <c r="P4301" s="9"/>
      <c r="Q4301" s="34"/>
      <c r="R4301" s="5"/>
      <c r="S4301" s="35"/>
    </row>
    <row r="4302" spans="1:19" ht="30" customHeight="1" thickBot="1" x14ac:dyDescent="0.4">
      <c r="A4302" s="1199"/>
      <c r="B4302" s="1200"/>
      <c r="C4302" s="1200"/>
      <c r="D4302" s="1200"/>
      <c r="E4302" s="1200"/>
      <c r="F4302" s="1200"/>
      <c r="G4302" s="1200"/>
      <c r="H4302" s="1200"/>
      <c r="I4302" s="1200"/>
      <c r="J4302" s="1200"/>
      <c r="K4302" s="1200"/>
      <c r="L4302" s="1201"/>
      <c r="O4302" s="5"/>
      <c r="P4302" s="9"/>
      <c r="Q4302" s="34"/>
      <c r="R4302" s="5"/>
      <c r="S4302" s="35"/>
    </row>
    <row r="4303" spans="1:19" ht="30" customHeight="1" x14ac:dyDescent="0.35">
      <c r="A4303" s="388" t="s">
        <v>1</v>
      </c>
      <c r="B4303" s="389">
        <v>8523</v>
      </c>
      <c r="C4303" s="1345" t="s">
        <v>1847</v>
      </c>
      <c r="D4303" s="1346"/>
      <c r="E4303" s="392" t="s">
        <v>3</v>
      </c>
      <c r="F4303" s="393" t="s">
        <v>4</v>
      </c>
      <c r="G4303" s="390" t="s">
        <v>38</v>
      </c>
      <c r="H4303" s="146">
        <v>8370.0770902460099</v>
      </c>
      <c r="I4303" s="392" t="s">
        <v>5</v>
      </c>
      <c r="J4303" s="1207" t="s">
        <v>2538</v>
      </c>
      <c r="K4303" s="1207"/>
      <c r="L4303" s="1208"/>
      <c r="M4303" s="98"/>
      <c r="O4303" s="5"/>
      <c r="P4303" s="9"/>
      <c r="Q4303" s="34"/>
      <c r="R4303" s="5"/>
      <c r="S4303" s="35"/>
    </row>
    <row r="4304" spans="1:19" ht="30" customHeight="1" x14ac:dyDescent="0.35">
      <c r="A4304" s="185" t="s">
        <v>177</v>
      </c>
      <c r="B4304" s="1272" t="s">
        <v>7</v>
      </c>
      <c r="C4304" s="1272"/>
      <c r="D4304" s="1272"/>
      <c r="E4304" s="397" t="s">
        <v>52</v>
      </c>
      <c r="F4304" s="185" t="s">
        <v>9</v>
      </c>
      <c r="G4304" s="1292" t="s">
        <v>54</v>
      </c>
      <c r="H4304" s="1293"/>
      <c r="I4304" s="1221" t="s">
        <v>179</v>
      </c>
      <c r="J4304" s="1222"/>
      <c r="K4304" s="1209" t="s">
        <v>180</v>
      </c>
      <c r="L4304" s="1210"/>
      <c r="M4304" s="96"/>
      <c r="P4304" s="9"/>
      <c r="Q4304" s="34"/>
      <c r="R4304" s="5"/>
      <c r="S4304" s="35"/>
    </row>
    <row r="4305" spans="1:19" ht="30" customHeight="1" x14ac:dyDescent="0.35">
      <c r="A4305" s="186">
        <v>93210</v>
      </c>
      <c r="B4305" s="1347" t="s">
        <v>1322</v>
      </c>
      <c r="C4305" s="1348"/>
      <c r="D4305" s="1349"/>
      <c r="E4305" s="194">
        <v>6.42</v>
      </c>
      <c r="F4305" s="203" t="s">
        <v>2615</v>
      </c>
      <c r="G4305" s="226">
        <v>0.33300000000000002</v>
      </c>
      <c r="H4305" s="136" t="s">
        <v>1827</v>
      </c>
      <c r="I4305" s="1307">
        <f>+'FY2024 MILCON Inflation Table'!F22</f>
        <v>0.95834826759383673</v>
      </c>
      <c r="J4305" s="1308"/>
      <c r="K4305" s="199">
        <f>+E4305*G4305*I4305</f>
        <v>2.0488144273581597</v>
      </c>
      <c r="L4305" s="401" t="s">
        <v>4</v>
      </c>
      <c r="M4305" s="10"/>
      <c r="O4305" s="5"/>
      <c r="P4305" s="9"/>
      <c r="Q4305" s="34"/>
      <c r="R4305" s="5"/>
      <c r="S4305" s="35"/>
    </row>
    <row r="4306" spans="1:19" ht="30" customHeight="1" x14ac:dyDescent="0.35">
      <c r="A4306" s="186">
        <v>93410</v>
      </c>
      <c r="B4306" s="1212" t="s">
        <v>2616</v>
      </c>
      <c r="C4306" s="1213"/>
      <c r="D4306" s="1214"/>
      <c r="E4306" s="194">
        <v>11.04</v>
      </c>
      <c r="F4306" s="203" t="s">
        <v>1828</v>
      </c>
      <c r="G4306" s="226">
        <v>0.33300000000000002</v>
      </c>
      <c r="H4306" s="136" t="s">
        <v>1827</v>
      </c>
      <c r="I4306" s="1307">
        <f>+I4305</f>
        <v>0.95834826759383673</v>
      </c>
      <c r="J4306" s="1308"/>
      <c r="K4306" s="199">
        <f>+E4306*G4306*I4306</f>
        <v>3.523194903120574</v>
      </c>
      <c r="L4306" s="401" t="s">
        <v>4</v>
      </c>
      <c r="M4306" s="10"/>
      <c r="P4306" s="9"/>
      <c r="Q4306" s="34"/>
      <c r="R4306" s="5"/>
      <c r="S4306" s="35"/>
    </row>
    <row r="4307" spans="1:19" ht="30" customHeight="1" x14ac:dyDescent="0.35">
      <c r="A4307" s="186">
        <v>85110</v>
      </c>
      <c r="B4307" s="1347" t="s">
        <v>1830</v>
      </c>
      <c r="C4307" s="1348"/>
      <c r="D4307" s="1349"/>
      <c r="E4307" s="194">
        <v>25.98</v>
      </c>
      <c r="F4307" s="203" t="s">
        <v>4</v>
      </c>
      <c r="G4307" s="149"/>
      <c r="H4307" s="136"/>
      <c r="I4307" s="1307">
        <f>+I4306</f>
        <v>0.95834826759383673</v>
      </c>
      <c r="J4307" s="1308"/>
      <c r="K4307" s="199">
        <f>+E4307*I4307</f>
        <v>24.897887992087878</v>
      </c>
      <c r="L4307" s="401" t="s">
        <v>4</v>
      </c>
      <c r="O4307" s="5"/>
      <c r="P4307" s="9"/>
      <c r="Q4307" s="34"/>
      <c r="R4307" s="5"/>
      <c r="S4307" s="35"/>
    </row>
    <row r="4308" spans="1:19" ht="30" customHeight="1" x14ac:dyDescent="0.35">
      <c r="A4308" s="186">
        <v>85110</v>
      </c>
      <c r="B4308" s="1212" t="s">
        <v>1831</v>
      </c>
      <c r="C4308" s="1213"/>
      <c r="D4308" s="1214"/>
      <c r="E4308" s="194">
        <v>5.45</v>
      </c>
      <c r="F4308" s="203" t="s">
        <v>4</v>
      </c>
      <c r="G4308" s="143"/>
      <c r="H4308" s="136"/>
      <c r="I4308" s="1307">
        <f>+I4306</f>
        <v>0.95834826759383673</v>
      </c>
      <c r="J4308" s="1308"/>
      <c r="K4308" s="199">
        <f>+E4308*I4308</f>
        <v>5.22299805838641</v>
      </c>
      <c r="L4308" s="401" t="s">
        <v>4</v>
      </c>
      <c r="P4308" s="9"/>
      <c r="Q4308" s="34"/>
      <c r="R4308" s="5"/>
      <c r="S4308" s="35"/>
    </row>
    <row r="4309" spans="1:19" ht="30" customHeight="1" x14ac:dyDescent="0.35">
      <c r="A4309" s="186">
        <v>85110</v>
      </c>
      <c r="B4309" s="1212" t="s">
        <v>2617</v>
      </c>
      <c r="C4309" s="1213"/>
      <c r="D4309" s="1214"/>
      <c r="E4309" s="194">
        <v>44.18</v>
      </c>
      <c r="F4309" s="203" t="s">
        <v>4</v>
      </c>
      <c r="G4309" s="143"/>
      <c r="H4309" s="136"/>
      <c r="I4309" s="1307">
        <f>+I4306</f>
        <v>0.95834826759383673</v>
      </c>
      <c r="J4309" s="1308"/>
      <c r="K4309" s="199">
        <f>+E4309*I4309</f>
        <v>42.339826462295704</v>
      </c>
      <c r="L4309" s="401" t="s">
        <v>4</v>
      </c>
      <c r="O4309" s="5"/>
      <c r="P4309" s="9"/>
      <c r="Q4309" s="34"/>
      <c r="R4309" s="5"/>
      <c r="S4309" s="35"/>
    </row>
    <row r="4310" spans="1:19" ht="30" customHeight="1" thickBot="1" x14ac:dyDescent="0.4">
      <c r="A4310" s="503"/>
      <c r="B4310" s="186"/>
      <c r="C4310" s="503"/>
      <c r="D4310" s="503"/>
      <c r="E4310" s="503"/>
      <c r="F4310" s="503"/>
      <c r="G4310" s="503"/>
      <c r="H4310" s="503"/>
      <c r="I4310" s="503"/>
      <c r="J4310" s="494" t="s">
        <v>37</v>
      </c>
      <c r="K4310" s="190">
        <f>SUM(K4305:K4309)</f>
        <v>78.032721843248723</v>
      </c>
      <c r="L4310" s="186" t="s">
        <v>4</v>
      </c>
      <c r="M4310" s="171"/>
      <c r="N4310" s="50"/>
      <c r="P4310" s="9"/>
      <c r="Q4310" s="34"/>
      <c r="R4310" s="5"/>
      <c r="S4310" s="35"/>
    </row>
    <row r="4311" spans="1:19" ht="30" customHeight="1" thickBot="1" x14ac:dyDescent="0.4">
      <c r="A4311" s="1199"/>
      <c r="B4311" s="1200"/>
      <c r="C4311" s="1200"/>
      <c r="D4311" s="1200"/>
      <c r="E4311" s="1200"/>
      <c r="F4311" s="1200"/>
      <c r="G4311" s="1200"/>
      <c r="H4311" s="1200"/>
      <c r="I4311" s="1200"/>
      <c r="J4311" s="1200"/>
      <c r="K4311" s="1200"/>
      <c r="L4311" s="1201"/>
      <c r="O4311" s="5"/>
      <c r="P4311" s="9"/>
      <c r="Q4311" s="34"/>
      <c r="R4311" s="5"/>
      <c r="S4311" s="35"/>
    </row>
    <row r="4312" spans="1:19" ht="30" customHeight="1" x14ac:dyDescent="0.35">
      <c r="A4312" s="388" t="s">
        <v>1</v>
      </c>
      <c r="B4312" s="389">
        <v>8524</v>
      </c>
      <c r="C4312" s="1345" t="s">
        <v>1848</v>
      </c>
      <c r="D4312" s="1346"/>
      <c r="E4312" s="392" t="s">
        <v>3</v>
      </c>
      <c r="F4312" s="393" t="s">
        <v>4</v>
      </c>
      <c r="G4312" s="390" t="s">
        <v>38</v>
      </c>
      <c r="H4312" s="132">
        <v>3733.68686951983</v>
      </c>
      <c r="I4312" s="392" t="s">
        <v>5</v>
      </c>
      <c r="J4312" s="1207" t="s">
        <v>2538</v>
      </c>
      <c r="K4312" s="1207"/>
      <c r="L4312" s="1208"/>
      <c r="M4312" s="98"/>
      <c r="O4312" s="5"/>
      <c r="P4312" s="9"/>
      <c r="Q4312" s="34"/>
      <c r="R4312" s="5"/>
      <c r="S4312" s="35"/>
    </row>
    <row r="4313" spans="1:19" ht="30" customHeight="1" x14ac:dyDescent="0.35">
      <c r="A4313" s="185" t="s">
        <v>177</v>
      </c>
      <c r="B4313" s="1272" t="s">
        <v>7</v>
      </c>
      <c r="C4313" s="1272"/>
      <c r="D4313" s="1272"/>
      <c r="E4313" s="397" t="s">
        <v>52</v>
      </c>
      <c r="F4313" s="185" t="s">
        <v>9</v>
      </c>
      <c r="G4313" s="1292" t="s">
        <v>54</v>
      </c>
      <c r="H4313" s="1293"/>
      <c r="I4313" s="1221" t="s">
        <v>179</v>
      </c>
      <c r="J4313" s="1222"/>
      <c r="K4313" s="1209" t="s">
        <v>180</v>
      </c>
      <c r="L4313" s="1210"/>
      <c r="M4313" s="96"/>
      <c r="O4313" s="5"/>
      <c r="P4313" s="9"/>
      <c r="Q4313" s="34"/>
      <c r="R4313" s="5"/>
      <c r="S4313" s="35"/>
    </row>
    <row r="4314" spans="1:19" ht="30" customHeight="1" x14ac:dyDescent="0.35">
      <c r="A4314" s="186">
        <v>93410</v>
      </c>
      <c r="B4314" s="1347" t="s">
        <v>2622</v>
      </c>
      <c r="C4314" s="1348"/>
      <c r="D4314" s="1349"/>
      <c r="E4314" s="194">
        <v>8.82</v>
      </c>
      <c r="F4314" s="203" t="s">
        <v>4</v>
      </c>
      <c r="G4314" s="226"/>
      <c r="H4314" s="136"/>
      <c r="I4314" s="1307">
        <f>+'FY2024 MILCON Inflation Table'!F22</f>
        <v>0.95834826759383673</v>
      </c>
      <c r="J4314" s="1308"/>
      <c r="K4314" s="199">
        <f>+E4314*I4314</f>
        <v>8.4526317201776404</v>
      </c>
      <c r="L4314" s="401" t="s">
        <v>4</v>
      </c>
      <c r="M4314" s="10"/>
      <c r="O4314" s="5"/>
      <c r="P4314" s="9"/>
      <c r="Q4314" s="34"/>
      <c r="R4314" s="5"/>
      <c r="S4314" s="35"/>
    </row>
    <row r="4315" spans="1:19" ht="30" customHeight="1" x14ac:dyDescent="0.35">
      <c r="A4315" s="186">
        <v>93410</v>
      </c>
      <c r="B4315" s="1212" t="s">
        <v>2623</v>
      </c>
      <c r="C4315" s="1213"/>
      <c r="D4315" s="1214"/>
      <c r="E4315" s="194">
        <v>185.72</v>
      </c>
      <c r="F4315" s="203" t="s">
        <v>4</v>
      </c>
      <c r="G4315" s="226"/>
      <c r="H4315" s="136"/>
      <c r="I4315" s="1307">
        <f>+I4314</f>
        <v>0.95834826759383673</v>
      </c>
      <c r="J4315" s="1308"/>
      <c r="K4315" s="199">
        <f>+E4315*I4315</f>
        <v>177.98444025752735</v>
      </c>
      <c r="L4315" s="401" t="s">
        <v>4</v>
      </c>
      <c r="M4315" s="10"/>
      <c r="O4315" s="5"/>
      <c r="P4315" s="9"/>
      <c r="Q4315" s="34"/>
      <c r="R4315" s="5"/>
      <c r="S4315" s="35"/>
    </row>
    <row r="4316" spans="1:19" ht="30" customHeight="1" thickBot="1" x14ac:dyDescent="0.4">
      <c r="A4316" s="790"/>
      <c r="B4316" s="117"/>
      <c r="C4316" s="711"/>
      <c r="D4316" s="712"/>
      <c r="E4316" s="194"/>
      <c r="F4316" s="422"/>
      <c r="G4316" s="127"/>
      <c r="H4316" s="136"/>
      <c r="I4316" s="186"/>
      <c r="J4316" s="494" t="s">
        <v>37</v>
      </c>
      <c r="K4316" s="190">
        <f>SUM(K4314:K4315)</f>
        <v>186.43707197770499</v>
      </c>
      <c r="L4316" s="186" t="s">
        <v>4</v>
      </c>
      <c r="M4316" s="10"/>
      <c r="N4316" s="50"/>
      <c r="O4316" s="5"/>
      <c r="P4316" s="9"/>
      <c r="Q4316" s="34"/>
      <c r="R4316" s="5"/>
      <c r="S4316" s="35"/>
    </row>
    <row r="4317" spans="1:19" ht="30" customHeight="1" thickBot="1" x14ac:dyDescent="0.4">
      <c r="A4317" s="1199"/>
      <c r="B4317" s="1200"/>
      <c r="C4317" s="1200"/>
      <c r="D4317" s="1200"/>
      <c r="E4317" s="1200"/>
      <c r="F4317" s="1200"/>
      <c r="G4317" s="1200"/>
      <c r="H4317" s="1200"/>
      <c r="I4317" s="1200"/>
      <c r="J4317" s="1200"/>
      <c r="K4317" s="1200"/>
      <c r="L4317" s="1201"/>
      <c r="O4317" s="5"/>
      <c r="P4317" s="9"/>
      <c r="Q4317" s="34"/>
      <c r="R4317" s="5"/>
      <c r="S4317" s="35"/>
    </row>
    <row r="4318" spans="1:19" ht="30" customHeight="1" x14ac:dyDescent="0.35">
      <c r="A4318" s="388" t="s">
        <v>1</v>
      </c>
      <c r="B4318" s="389">
        <v>8525</v>
      </c>
      <c r="C4318" s="453" t="s">
        <v>1849</v>
      </c>
      <c r="D4318" s="454"/>
      <c r="E4318" s="392" t="s">
        <v>3</v>
      </c>
      <c r="F4318" s="393" t="s">
        <v>4</v>
      </c>
      <c r="G4318" s="390" t="s">
        <v>38</v>
      </c>
      <c r="H4318" s="361">
        <v>92.907159487776397</v>
      </c>
      <c r="I4318" s="392" t="s">
        <v>5</v>
      </c>
      <c r="J4318" s="1207" t="s">
        <v>2874</v>
      </c>
      <c r="K4318" s="1207"/>
      <c r="L4318" s="1208"/>
      <c r="O4318" s="5"/>
      <c r="P4318" s="9"/>
      <c r="Q4318" s="34"/>
      <c r="R4318" s="5"/>
      <c r="S4318" s="35"/>
    </row>
    <row r="4319" spans="1:19" ht="30" customHeight="1" x14ac:dyDescent="0.35">
      <c r="A4319" s="185" t="s">
        <v>187</v>
      </c>
      <c r="B4319" s="540" t="s">
        <v>211</v>
      </c>
      <c r="C4319" s="541"/>
      <c r="D4319" s="542"/>
      <c r="E4319" s="1024" t="s">
        <v>52</v>
      </c>
      <c r="F4319" s="1024" t="s">
        <v>53</v>
      </c>
      <c r="G4319" s="1073" t="s">
        <v>54</v>
      </c>
      <c r="H4319" s="878"/>
      <c r="I4319" s="1225" t="s">
        <v>188</v>
      </c>
      <c r="J4319" s="1226"/>
      <c r="K4319" s="1209" t="s">
        <v>180</v>
      </c>
      <c r="L4319" s="1210"/>
      <c r="O4319" s="5"/>
      <c r="P4319" s="9"/>
      <c r="Q4319" s="34"/>
      <c r="R4319" s="5"/>
      <c r="S4319" s="35"/>
    </row>
    <row r="4320" spans="1:19" ht="30" customHeight="1" x14ac:dyDescent="0.35">
      <c r="A4320" s="186" t="s">
        <v>341</v>
      </c>
      <c r="B4320" s="1212" t="s">
        <v>1850</v>
      </c>
      <c r="C4320" s="1213"/>
      <c r="D4320" s="1214"/>
      <c r="E4320" s="7">
        <f>+(95+540)/2</f>
        <v>317.5</v>
      </c>
      <c r="F4320" s="422" t="s">
        <v>108</v>
      </c>
      <c r="G4320" s="19">
        <v>9</v>
      </c>
      <c r="H4320" s="708" t="s">
        <v>387</v>
      </c>
      <c r="I4320" s="1372">
        <v>1.07</v>
      </c>
      <c r="J4320" s="1373"/>
      <c r="K4320" s="193">
        <f>+E4320*G4320*I4320</f>
        <v>3057.5250000000001</v>
      </c>
      <c r="L4320" s="422" t="s">
        <v>4</v>
      </c>
      <c r="O4320" s="5"/>
      <c r="P4320" s="9"/>
      <c r="Q4320" s="34"/>
      <c r="R4320" s="5"/>
      <c r="S4320" s="35"/>
    </row>
    <row r="4321" spans="1:19" ht="30" customHeight="1" x14ac:dyDescent="0.35">
      <c r="A4321" s="186" t="s">
        <v>341</v>
      </c>
      <c r="B4321" s="1212" t="s">
        <v>2952</v>
      </c>
      <c r="C4321" s="1213"/>
      <c r="D4321" s="1214"/>
      <c r="E4321" s="7">
        <f>+(95+487)/2</f>
        <v>291</v>
      </c>
      <c r="F4321" s="422" t="s">
        <v>108</v>
      </c>
      <c r="G4321" s="19">
        <v>9</v>
      </c>
      <c r="H4321" s="708" t="s">
        <v>387</v>
      </c>
      <c r="I4321" s="1372">
        <v>1.07</v>
      </c>
      <c r="J4321" s="1373"/>
      <c r="K4321" s="193">
        <f>+E4321*G4321*I4321</f>
        <v>2802.3300000000004</v>
      </c>
      <c r="L4321" s="422" t="s">
        <v>4</v>
      </c>
      <c r="O4321" s="5"/>
      <c r="P4321" s="9"/>
      <c r="Q4321" s="34"/>
      <c r="R4321" s="5"/>
      <c r="S4321" s="35"/>
    </row>
    <row r="4322" spans="1:19" ht="30" customHeight="1" x14ac:dyDescent="0.35">
      <c r="A4322" s="271"/>
      <c r="B4322" s="744"/>
      <c r="C4322" s="745"/>
      <c r="D4322" s="746"/>
      <c r="E4322" s="7"/>
      <c r="F4322" s="350"/>
      <c r="G4322" s="19"/>
      <c r="H4322" s="708"/>
      <c r="I4322" s="271"/>
      <c r="J4322" s="422" t="s">
        <v>2551</v>
      </c>
      <c r="K4322" s="272">
        <f>AVERAGE(K4320:K4321)</f>
        <v>2929.9275000000002</v>
      </c>
      <c r="L4322" s="422" t="s">
        <v>4</v>
      </c>
      <c r="O4322" s="5"/>
      <c r="P4322" s="9"/>
      <c r="Q4322" s="34"/>
      <c r="R4322" s="5"/>
      <c r="S4322" s="35"/>
    </row>
    <row r="4323" spans="1:19" ht="30" customHeight="1" x14ac:dyDescent="0.35">
      <c r="A4323" s="186"/>
      <c r="B4323" s="567"/>
      <c r="C4323" s="567"/>
      <c r="D4323" s="567"/>
      <c r="E4323" s="194"/>
      <c r="F4323" s="1215" t="s">
        <v>195</v>
      </c>
      <c r="G4323" s="1273" t="s">
        <v>196</v>
      </c>
      <c r="H4323" s="1273"/>
      <c r="I4323" s="1273"/>
      <c r="J4323" s="1273"/>
      <c r="K4323" s="196">
        <v>1.05</v>
      </c>
      <c r="L4323" s="186"/>
      <c r="O4323" s="5"/>
      <c r="P4323" s="9"/>
      <c r="Q4323" s="34"/>
      <c r="R4323" s="5"/>
      <c r="S4323" s="35"/>
    </row>
    <row r="4324" spans="1:19" ht="30" customHeight="1" x14ac:dyDescent="0.35">
      <c r="A4324" s="186"/>
      <c r="B4324" s="567"/>
      <c r="C4324" s="567"/>
      <c r="D4324" s="567"/>
      <c r="E4324" s="194"/>
      <c r="F4324" s="1216"/>
      <c r="G4324" s="1268" t="s">
        <v>388</v>
      </c>
      <c r="H4324" s="1268"/>
      <c r="I4324" s="1268"/>
      <c r="J4324" s="1268"/>
      <c r="K4324" s="196">
        <v>1.07</v>
      </c>
      <c r="L4324" s="186"/>
      <c r="O4324" s="5"/>
      <c r="P4324" s="9"/>
      <c r="Q4324" s="34"/>
      <c r="R4324" s="5"/>
      <c r="S4324" s="35"/>
    </row>
    <row r="4325" spans="1:19" ht="30" customHeight="1" x14ac:dyDescent="0.35">
      <c r="A4325" s="790"/>
      <c r="B4325" s="117"/>
      <c r="C4325" s="711"/>
      <c r="D4325" s="712"/>
      <c r="E4325" s="194"/>
      <c r="F4325" s="422"/>
      <c r="G4325" s="127"/>
      <c r="H4325" s="136"/>
      <c r="I4325" s="186"/>
      <c r="J4325" s="186" t="s">
        <v>37</v>
      </c>
      <c r="K4325" s="193">
        <f>+K4320*K4323/K4324</f>
        <v>3000.375</v>
      </c>
      <c r="L4325" s="186" t="s">
        <v>4</v>
      </c>
      <c r="O4325" s="5"/>
      <c r="P4325" s="9"/>
      <c r="Q4325" s="34"/>
      <c r="R4325" s="5"/>
      <c r="S4325" s="35"/>
    </row>
    <row r="4326" spans="1:19" ht="30" customHeight="1" thickBot="1" x14ac:dyDescent="0.4">
      <c r="A4326" s="790"/>
      <c r="B4326" s="503"/>
      <c r="C4326" s="503"/>
      <c r="D4326" s="503"/>
      <c r="E4326" s="194"/>
      <c r="F4326" s="186"/>
      <c r="G4326" s="1366" t="s">
        <v>257</v>
      </c>
      <c r="H4326" s="1367"/>
      <c r="I4326" s="1368"/>
      <c r="J4326" s="560">
        <f>VLOOKUP(B4318,'Mil Cost Premiums for PUCs'!$A$4:$R$285,18,FALSE)</f>
        <v>1.0905505199999999</v>
      </c>
      <c r="K4326" s="193">
        <f>+K4325*J4326</f>
        <v>3272.0605164449994</v>
      </c>
      <c r="L4326" s="186" t="s">
        <v>4</v>
      </c>
      <c r="O4326" s="5"/>
      <c r="P4326" s="9"/>
      <c r="Q4326" s="34"/>
      <c r="R4326" s="5"/>
      <c r="S4326" s="35"/>
    </row>
    <row r="4327" spans="1:19" ht="30" customHeight="1" thickBot="1" x14ac:dyDescent="0.4">
      <c r="A4327" s="1199"/>
      <c r="B4327" s="1200"/>
      <c r="C4327" s="1200"/>
      <c r="D4327" s="1200"/>
      <c r="E4327" s="1200"/>
      <c r="F4327" s="1200"/>
      <c r="G4327" s="1200"/>
      <c r="H4327" s="1200"/>
      <c r="I4327" s="1200"/>
      <c r="J4327" s="1200"/>
      <c r="K4327" s="1200"/>
      <c r="L4327" s="1201"/>
      <c r="O4327" s="5"/>
      <c r="P4327" s="9"/>
      <c r="Q4327" s="34"/>
      <c r="R4327" s="5"/>
      <c r="S4327" s="35"/>
    </row>
    <row r="4328" spans="1:19" ht="30" customHeight="1" x14ac:dyDescent="0.35">
      <c r="A4328" s="388" t="s">
        <v>1</v>
      </c>
      <c r="B4328" s="389">
        <v>8526</v>
      </c>
      <c r="C4328" s="1223" t="s">
        <v>1851</v>
      </c>
      <c r="D4328" s="1224"/>
      <c r="E4328" s="392" t="s">
        <v>3</v>
      </c>
      <c r="F4328" s="393" t="s">
        <v>4</v>
      </c>
      <c r="G4328" s="390" t="s">
        <v>38</v>
      </c>
      <c r="H4328" s="132">
        <v>777.12593221259203</v>
      </c>
      <c r="I4328" s="392" t="s">
        <v>5</v>
      </c>
      <c r="J4328" s="1207" t="s">
        <v>2873</v>
      </c>
      <c r="K4328" s="1207"/>
      <c r="L4328" s="1208"/>
      <c r="M4328" s="98"/>
      <c r="N4328" s="10"/>
      <c r="O4328" s="5"/>
      <c r="P4328" s="9"/>
      <c r="Q4328" s="34"/>
      <c r="R4328" s="5"/>
      <c r="S4328" s="35"/>
    </row>
    <row r="4329" spans="1:19" ht="30" customHeight="1" x14ac:dyDescent="0.35">
      <c r="A4329" s="185" t="s">
        <v>177</v>
      </c>
      <c r="B4329" s="1272" t="s">
        <v>7</v>
      </c>
      <c r="C4329" s="1272"/>
      <c r="D4329" s="1272"/>
      <c r="E4329" s="397" t="s">
        <v>52</v>
      </c>
      <c r="F4329" s="185" t="s">
        <v>9</v>
      </c>
      <c r="G4329" s="1292" t="s">
        <v>54</v>
      </c>
      <c r="H4329" s="1293"/>
      <c r="I4329" s="1221" t="s">
        <v>179</v>
      </c>
      <c r="J4329" s="1222"/>
      <c r="K4329" s="1209" t="s">
        <v>180</v>
      </c>
      <c r="L4329" s="1210"/>
      <c r="M4329" s="96"/>
      <c r="O4329" s="5"/>
      <c r="P4329" s="9"/>
      <c r="Q4329" s="34"/>
      <c r="R4329" s="5"/>
      <c r="S4329" s="35"/>
    </row>
    <row r="4330" spans="1:19" ht="30" customHeight="1" x14ac:dyDescent="0.35">
      <c r="A4330" s="186">
        <v>93210</v>
      </c>
      <c r="B4330" s="1347" t="s">
        <v>1322</v>
      </c>
      <c r="C4330" s="1348"/>
      <c r="D4330" s="1349"/>
      <c r="E4330" s="194">
        <v>6.72</v>
      </c>
      <c r="F4330" s="203" t="s">
        <v>2615</v>
      </c>
      <c r="G4330" s="226">
        <v>0.33300000000000002</v>
      </c>
      <c r="H4330" s="136" t="s">
        <v>1827</v>
      </c>
      <c r="I4330" s="1307">
        <f>+'FY2024 MILCON Inflation Table'!F23</f>
        <v>0.93863689284411045</v>
      </c>
      <c r="J4330" s="1308"/>
      <c r="K4330" s="199">
        <f>+E4330*G4330*I4330</f>
        <v>2.1004440933308368</v>
      </c>
      <c r="L4330" s="401" t="s">
        <v>4</v>
      </c>
      <c r="N4330" s="10"/>
      <c r="O4330" s="5"/>
      <c r="P4330" s="9"/>
      <c r="Q4330" s="34"/>
      <c r="R4330" s="5"/>
      <c r="S4330" s="35"/>
    </row>
    <row r="4331" spans="1:19" ht="30" customHeight="1" x14ac:dyDescent="0.35">
      <c r="A4331" s="186">
        <v>93410</v>
      </c>
      <c r="B4331" s="1212" t="s">
        <v>2949</v>
      </c>
      <c r="C4331" s="1213"/>
      <c r="D4331" s="1214"/>
      <c r="E4331" s="194">
        <v>11.54</v>
      </c>
      <c r="F4331" s="203" t="s">
        <v>1828</v>
      </c>
      <c r="G4331" s="226">
        <v>0.33300000000000002</v>
      </c>
      <c r="H4331" s="136" t="s">
        <v>1829</v>
      </c>
      <c r="I4331" s="1307">
        <f>+I4330</f>
        <v>0.93863689284411045</v>
      </c>
      <c r="J4331" s="1308"/>
      <c r="K4331" s="199">
        <f>+E4331*G4331*I4331</f>
        <v>3.6070126245592045</v>
      </c>
      <c r="L4331" s="401" t="s">
        <v>4</v>
      </c>
      <c r="O4331" s="5"/>
      <c r="P4331" s="9"/>
      <c r="Q4331" s="34"/>
      <c r="R4331" s="5"/>
      <c r="S4331" s="35"/>
    </row>
    <row r="4332" spans="1:19" ht="30" customHeight="1" x14ac:dyDescent="0.35">
      <c r="A4332" s="186">
        <v>85110</v>
      </c>
      <c r="B4332" s="1347" t="s">
        <v>1833</v>
      </c>
      <c r="C4332" s="1348"/>
      <c r="D4332" s="1349"/>
      <c r="E4332" s="194">
        <v>19.86</v>
      </c>
      <c r="F4332" s="203" t="s">
        <v>4</v>
      </c>
      <c r="G4332" s="301"/>
      <c r="H4332" s="271"/>
      <c r="I4332" s="1307">
        <f>+I4330</f>
        <v>0.93863689284411045</v>
      </c>
      <c r="J4332" s="1308"/>
      <c r="K4332" s="199">
        <f>+E4332*I4332</f>
        <v>18.641328691884034</v>
      </c>
      <c r="L4332" s="401" t="s">
        <v>4</v>
      </c>
      <c r="O4332" s="5"/>
      <c r="P4332" s="9"/>
      <c r="Q4332" s="34"/>
      <c r="R4332" s="5"/>
      <c r="S4332" s="35"/>
    </row>
    <row r="4333" spans="1:19" ht="30" customHeight="1" x14ac:dyDescent="0.35">
      <c r="A4333" s="186">
        <v>85110</v>
      </c>
      <c r="B4333" s="1389" t="s">
        <v>2624</v>
      </c>
      <c r="C4333" s="1390"/>
      <c r="D4333" s="1391"/>
      <c r="E4333" s="194">
        <v>86.43</v>
      </c>
      <c r="F4333" s="203" t="s">
        <v>4</v>
      </c>
      <c r="G4333" s="301"/>
      <c r="H4333" s="271"/>
      <c r="I4333" s="1307">
        <f>+I4330</f>
        <v>0.93863689284411045</v>
      </c>
      <c r="J4333" s="1308"/>
      <c r="K4333" s="199">
        <f>+E4333*I4333</f>
        <v>81.126386648516473</v>
      </c>
      <c r="L4333" s="401" t="s">
        <v>4</v>
      </c>
      <c r="M4333" s="98"/>
      <c r="O4333" s="5"/>
      <c r="P4333" s="9"/>
      <c r="Q4333" s="34"/>
      <c r="R4333" s="5"/>
      <c r="S4333" s="35"/>
    </row>
    <row r="4334" spans="1:19" ht="30" customHeight="1" x14ac:dyDescent="0.35">
      <c r="A4334" s="186">
        <v>85110</v>
      </c>
      <c r="B4334" s="1389" t="s">
        <v>2948</v>
      </c>
      <c r="C4334" s="1390"/>
      <c r="D4334" s="1391"/>
      <c r="E4334" s="279">
        <v>24.33</v>
      </c>
      <c r="F4334" s="203" t="s">
        <v>4</v>
      </c>
      <c r="G4334" s="301"/>
      <c r="H4334" s="271"/>
      <c r="I4334" s="1307">
        <f>+I4331</f>
        <v>0.93863689284411045</v>
      </c>
      <c r="J4334" s="1308"/>
      <c r="K4334" s="199">
        <f>+E4334*I4334</f>
        <v>22.837035602897206</v>
      </c>
      <c r="L4334" s="401" t="s">
        <v>4</v>
      </c>
      <c r="M4334" s="98"/>
      <c r="O4334" s="5"/>
      <c r="P4334" s="9"/>
      <c r="Q4334" s="34"/>
      <c r="R4334" s="5"/>
      <c r="S4334" s="35"/>
    </row>
    <row r="4335" spans="1:19" ht="30" customHeight="1" x14ac:dyDescent="0.35">
      <c r="A4335" s="271"/>
      <c r="B4335" s="575"/>
      <c r="C4335" s="576"/>
      <c r="D4335" s="577"/>
      <c r="E4335" s="279"/>
      <c r="F4335" s="301"/>
      <c r="G4335" s="301"/>
      <c r="H4335" s="271"/>
      <c r="I4335" s="1582" t="s">
        <v>2950</v>
      </c>
      <c r="J4335" s="1583"/>
      <c r="K4335" s="307">
        <f>AVERAGE(K4333:K4334)</f>
        <v>51.981711125706838</v>
      </c>
      <c r="L4335" s="401" t="s">
        <v>4</v>
      </c>
      <c r="M4335" s="98"/>
      <c r="O4335" s="5"/>
      <c r="P4335" s="9"/>
      <c r="Q4335" s="34"/>
      <c r="R4335" s="5"/>
      <c r="S4335" s="35"/>
    </row>
    <row r="4336" spans="1:19" ht="30" customHeight="1" thickBot="1" x14ac:dyDescent="0.4">
      <c r="A4336" s="503"/>
      <c r="B4336" s="1467"/>
      <c r="C4336" s="1468"/>
      <c r="D4336" s="1469"/>
      <c r="E4336" s="503"/>
      <c r="F4336" s="503"/>
      <c r="G4336" s="503"/>
      <c r="H4336" s="503"/>
      <c r="I4336" s="503"/>
      <c r="J4336" s="494" t="s">
        <v>37</v>
      </c>
      <c r="K4336" s="199">
        <f>+K4335+K4332+K4331+K4330</f>
        <v>76.330496535480904</v>
      </c>
      <c r="L4336" s="186" t="s">
        <v>4</v>
      </c>
      <c r="O4336" s="5"/>
      <c r="P4336" s="9"/>
      <c r="Q4336" s="34"/>
      <c r="R4336" s="5"/>
      <c r="S4336" s="35"/>
    </row>
    <row r="4337" spans="1:19" ht="30" customHeight="1" thickBot="1" x14ac:dyDescent="0.4">
      <c r="A4337" s="1199"/>
      <c r="B4337" s="1200"/>
      <c r="C4337" s="1200"/>
      <c r="D4337" s="1200"/>
      <c r="E4337" s="1200"/>
      <c r="F4337" s="1200"/>
      <c r="G4337" s="1200"/>
      <c r="H4337" s="1200"/>
      <c r="I4337" s="1200"/>
      <c r="J4337" s="1200"/>
      <c r="K4337" s="1200"/>
      <c r="L4337" s="1201"/>
      <c r="O4337" s="5"/>
      <c r="P4337" s="9"/>
      <c r="Q4337" s="34"/>
      <c r="R4337" s="5"/>
      <c r="S4337" s="35"/>
    </row>
    <row r="4338" spans="1:19" ht="30" customHeight="1" x14ac:dyDescent="0.35">
      <c r="A4338" s="388" t="s">
        <v>1</v>
      </c>
      <c r="B4338" s="389">
        <v>8531</v>
      </c>
      <c r="C4338" s="1290" t="s">
        <v>1852</v>
      </c>
      <c r="D4338" s="1291"/>
      <c r="E4338" s="392" t="s">
        <v>3</v>
      </c>
      <c r="F4338" s="393" t="s">
        <v>108</v>
      </c>
      <c r="G4338" s="390" t="s">
        <v>38</v>
      </c>
      <c r="H4338" s="195">
        <v>111918.37784946201</v>
      </c>
      <c r="I4338" s="392" t="s">
        <v>5</v>
      </c>
      <c r="J4338" s="1304" t="s">
        <v>2861</v>
      </c>
      <c r="K4338" s="1305"/>
      <c r="L4338" s="1306"/>
      <c r="O4338" s="5"/>
      <c r="P4338" s="9"/>
      <c r="Q4338" s="34"/>
      <c r="R4338" s="5"/>
      <c r="S4338" s="35"/>
    </row>
    <row r="4339" spans="1:19" ht="30" customHeight="1" x14ac:dyDescent="0.35">
      <c r="A4339" s="185" t="s">
        <v>177</v>
      </c>
      <c r="B4339" s="1272" t="s">
        <v>7</v>
      </c>
      <c r="C4339" s="1272"/>
      <c r="D4339" s="1272"/>
      <c r="E4339" s="492" t="s">
        <v>178</v>
      </c>
      <c r="F4339" s="397" t="s">
        <v>52</v>
      </c>
      <c r="G4339" s="185"/>
      <c r="H4339" s="185"/>
      <c r="I4339" s="1223" t="s">
        <v>56</v>
      </c>
      <c r="J4339" s="1224"/>
      <c r="K4339" s="1209" t="s">
        <v>180</v>
      </c>
      <c r="L4339" s="1210"/>
      <c r="O4339" s="5"/>
      <c r="P4339" s="9"/>
      <c r="Q4339" s="34"/>
      <c r="R4339" s="5"/>
      <c r="S4339" s="35"/>
    </row>
    <row r="4340" spans="1:19" ht="30" customHeight="1" x14ac:dyDescent="0.35">
      <c r="A4340" s="401" t="s">
        <v>181</v>
      </c>
      <c r="B4340" s="1265" t="s">
        <v>1852</v>
      </c>
      <c r="C4340" s="1265"/>
      <c r="D4340" s="1265"/>
      <c r="E4340" s="531">
        <v>190000</v>
      </c>
      <c r="F4340" s="187">
        <v>65</v>
      </c>
      <c r="G4340" s="532"/>
      <c r="H4340" s="533"/>
      <c r="I4340" s="1217" t="s">
        <v>2860</v>
      </c>
      <c r="J4340" s="1218"/>
      <c r="K4340" s="187">
        <f>+F4340</f>
        <v>65</v>
      </c>
      <c r="L4340" s="401" t="s">
        <v>108</v>
      </c>
      <c r="N4340" s="10"/>
      <c r="O4340" s="5"/>
      <c r="P4340" s="9"/>
      <c r="Q4340" s="34"/>
      <c r="R4340" s="5"/>
      <c r="S4340" s="35"/>
    </row>
    <row r="4341" spans="1:19" ht="30" customHeight="1" thickBot="1" x14ac:dyDescent="0.4">
      <c r="A4341" s="755"/>
      <c r="B4341" s="1589"/>
      <c r="C4341" s="1589"/>
      <c r="D4341" s="1589"/>
      <c r="E4341" s="1005"/>
      <c r="F4341" s="1006"/>
      <c r="G4341" s="1006"/>
      <c r="H4341" s="1007"/>
      <c r="I4341" s="114"/>
      <c r="J4341" s="493" t="s">
        <v>37</v>
      </c>
      <c r="K4341" s="115">
        <f>+K4340</f>
        <v>65</v>
      </c>
      <c r="L4341" s="755" t="s">
        <v>108</v>
      </c>
      <c r="N4341" s="10"/>
      <c r="O4341" s="5"/>
      <c r="P4341" s="9"/>
      <c r="Q4341" s="34"/>
      <c r="R4341" s="5"/>
      <c r="S4341" s="35"/>
    </row>
    <row r="4342" spans="1:19" ht="30" customHeight="1" thickBot="1" x14ac:dyDescent="0.4">
      <c r="A4342" s="1429"/>
      <c r="B4342" s="1430"/>
      <c r="C4342" s="1430"/>
      <c r="D4342" s="1430"/>
      <c r="E4342" s="1430"/>
      <c r="F4342" s="1430"/>
      <c r="G4342" s="1430"/>
      <c r="H4342" s="1430"/>
      <c r="I4342" s="1430"/>
      <c r="J4342" s="1430"/>
      <c r="K4342" s="1430"/>
      <c r="L4342" s="1431"/>
      <c r="M4342" s="10"/>
      <c r="N4342" s="10"/>
      <c r="O4342" s="5"/>
      <c r="P4342" s="9"/>
      <c r="Q4342" s="34"/>
      <c r="R4342" s="5"/>
      <c r="S4342" s="35"/>
    </row>
    <row r="4343" spans="1:19" ht="30" customHeight="1" x14ac:dyDescent="0.35">
      <c r="A4343" s="455" t="s">
        <v>1</v>
      </c>
      <c r="B4343" s="439">
        <v>8541</v>
      </c>
      <c r="C4343" s="1396" t="s">
        <v>1853</v>
      </c>
      <c r="D4343" s="1397"/>
      <c r="E4343" s="456" t="s">
        <v>3</v>
      </c>
      <c r="F4343" s="457" t="s">
        <v>40</v>
      </c>
      <c r="G4343" s="771" t="s">
        <v>2</v>
      </c>
      <c r="H4343" s="254">
        <v>1</v>
      </c>
      <c r="I4343" s="456" t="s">
        <v>5</v>
      </c>
      <c r="J4343" s="1470" t="s">
        <v>1785</v>
      </c>
      <c r="K4343" s="1470"/>
      <c r="L4343" s="1470"/>
      <c r="M4343" s="163"/>
      <c r="O4343" s="5"/>
      <c r="P4343" s="9"/>
      <c r="Q4343" s="34"/>
      <c r="R4343" s="5"/>
      <c r="S4343" s="35"/>
    </row>
    <row r="4344" spans="1:19" ht="30" customHeight="1" x14ac:dyDescent="0.35">
      <c r="A4344" s="185"/>
      <c r="B4344" s="1272" t="s">
        <v>7</v>
      </c>
      <c r="C4344" s="1272"/>
      <c r="D4344" s="1272"/>
      <c r="E4344" s="185" t="s">
        <v>382</v>
      </c>
      <c r="F4344" s="492" t="s">
        <v>9</v>
      </c>
      <c r="H4344" s="185" t="s">
        <v>55</v>
      </c>
      <c r="I4344" s="1221" t="s">
        <v>351</v>
      </c>
      <c r="J4344" s="1287"/>
      <c r="K4344" s="1219" t="s">
        <v>180</v>
      </c>
      <c r="L4344" s="1220"/>
      <c r="M4344" s="98"/>
      <c r="N4344" s="50"/>
      <c r="O4344" s="5"/>
      <c r="P4344" s="9"/>
      <c r="Q4344" s="34"/>
      <c r="R4344" s="5"/>
      <c r="S4344" s="35"/>
    </row>
    <row r="4345" spans="1:19" ht="30" customHeight="1" x14ac:dyDescent="0.35">
      <c r="A4345" s="407"/>
      <c r="B4345" s="1581" t="s">
        <v>1853</v>
      </c>
      <c r="C4345" s="1581"/>
      <c r="D4345" s="1581"/>
      <c r="E4345" s="497"/>
      <c r="F4345" s="401" t="s">
        <v>1854</v>
      </c>
      <c r="G4345" s="529"/>
      <c r="H4345" s="750"/>
      <c r="I4345" s="1584"/>
      <c r="J4345" s="1306"/>
      <c r="K4345" s="497"/>
      <c r="L4345" s="407"/>
      <c r="N4345" s="50"/>
      <c r="O4345" s="5"/>
      <c r="P4345" s="9"/>
      <c r="Q4345" s="34"/>
      <c r="R4345" s="5"/>
      <c r="S4345" s="35"/>
    </row>
    <row r="4346" spans="1:19" ht="30" customHeight="1" x14ac:dyDescent="0.35">
      <c r="A4346" s="407"/>
      <c r="B4346" s="1593" t="s">
        <v>1855</v>
      </c>
      <c r="C4346" s="1594"/>
      <c r="D4346" s="1595"/>
      <c r="E4346" s="1156">
        <v>861067</v>
      </c>
      <c r="F4346" s="407">
        <v>1</v>
      </c>
      <c r="G4346" s="503"/>
      <c r="H4346" s="757">
        <v>0.86</v>
      </c>
      <c r="I4346" s="1217">
        <f>+'FY2024 MILCON Inflation Table'!F16</f>
        <v>1.2817196193982925</v>
      </c>
      <c r="J4346" s="1218"/>
      <c r="K4346" s="497">
        <f t="shared" ref="K4346:K4353" si="64">+E4346/H4346*I4346</f>
        <v>1283309.8459493367</v>
      </c>
      <c r="L4346" s="407" t="s">
        <v>40</v>
      </c>
      <c r="M4346" s="98"/>
    </row>
    <row r="4347" spans="1:19" ht="30" customHeight="1" x14ac:dyDescent="0.35">
      <c r="A4347" s="407"/>
      <c r="B4347" s="1596" t="s">
        <v>1856</v>
      </c>
      <c r="C4347" s="1597"/>
      <c r="D4347" s="1598"/>
      <c r="E4347" s="1156">
        <v>1257469</v>
      </c>
      <c r="F4347" s="407">
        <v>1</v>
      </c>
      <c r="G4347" s="503"/>
      <c r="H4347" s="1157">
        <v>0.88</v>
      </c>
      <c r="I4347" s="1217">
        <f>'FY2024 MILCON Inflation Table'!F15</f>
        <v>1.3402943931789864</v>
      </c>
      <c r="J4347" s="1218"/>
      <c r="K4347" s="497">
        <f t="shared" si="64"/>
        <v>1915203.0117004395</v>
      </c>
      <c r="L4347" s="407" t="s">
        <v>40</v>
      </c>
      <c r="M4347" s="54"/>
      <c r="N4347" s="109"/>
      <c r="O4347" s="5"/>
      <c r="P4347" s="9"/>
      <c r="Q4347" s="34"/>
      <c r="R4347" s="5"/>
      <c r="S4347" s="35"/>
    </row>
    <row r="4348" spans="1:19" ht="30" customHeight="1" x14ac:dyDescent="0.35">
      <c r="A4348" s="407"/>
      <c r="B4348" s="1577" t="s">
        <v>1857</v>
      </c>
      <c r="C4348" s="1390"/>
      <c r="D4348" s="1391"/>
      <c r="E4348" s="227">
        <v>261930.52</v>
      </c>
      <c r="F4348" s="407">
        <v>1</v>
      </c>
      <c r="G4348" s="503"/>
      <c r="H4348" s="757">
        <v>0.97</v>
      </c>
      <c r="I4348" s="1217">
        <f>+'FY2024 MILCON Inflation Table'!$F$13</f>
        <v>1.4708740491364725</v>
      </c>
      <c r="J4348" s="1218"/>
      <c r="K4348" s="497">
        <f t="shared" si="64"/>
        <v>397182.27272662037</v>
      </c>
      <c r="L4348" s="407" t="s">
        <v>40</v>
      </c>
      <c r="N4348" s="50"/>
      <c r="O4348" s="5"/>
      <c r="P4348" s="9"/>
      <c r="Q4348" s="34"/>
      <c r="R4348" s="5"/>
      <c r="S4348" s="35"/>
    </row>
    <row r="4349" spans="1:19" ht="30" customHeight="1" x14ac:dyDescent="0.35">
      <c r="A4349" s="407"/>
      <c r="B4349" s="1577" t="s">
        <v>1858</v>
      </c>
      <c r="C4349" s="1390"/>
      <c r="D4349" s="1391"/>
      <c r="E4349" s="227">
        <v>298999</v>
      </c>
      <c r="F4349" s="407">
        <v>1</v>
      </c>
      <c r="G4349" s="503"/>
      <c r="H4349" s="757">
        <v>0.99</v>
      </c>
      <c r="I4349" s="1217">
        <f>'FY2024 MILCON Inflation Table'!F16</f>
        <v>1.2817196193982925</v>
      </c>
      <c r="J4349" s="1218"/>
      <c r="K4349" s="497">
        <f t="shared" si="64"/>
        <v>387103.92371764651</v>
      </c>
      <c r="L4349" s="407" t="s">
        <v>40</v>
      </c>
      <c r="M4349" s="99"/>
      <c r="N4349" s="109"/>
      <c r="O4349" s="5"/>
      <c r="P4349" s="9"/>
      <c r="Q4349" s="34"/>
      <c r="R4349" s="5"/>
      <c r="S4349" s="35"/>
    </row>
    <row r="4350" spans="1:19" ht="30" customHeight="1" x14ac:dyDescent="0.35">
      <c r="A4350" s="407"/>
      <c r="B4350" s="1577" t="s">
        <v>1859</v>
      </c>
      <c r="C4350" s="1390"/>
      <c r="D4350" s="1391"/>
      <c r="E4350" s="227">
        <v>300175</v>
      </c>
      <c r="F4350" s="407">
        <v>1</v>
      </c>
      <c r="G4350" s="503"/>
      <c r="H4350" s="757">
        <v>0.95</v>
      </c>
      <c r="I4350" s="1217">
        <f>'FY2024 MILCON Inflation Table'!F18</f>
        <v>1.1706170972389343</v>
      </c>
      <c r="J4350" s="1218"/>
      <c r="K4350" s="497">
        <f t="shared" si="64"/>
        <v>369884.19701441802</v>
      </c>
      <c r="L4350" s="407" t="s">
        <v>40</v>
      </c>
      <c r="N4350" s="50"/>
      <c r="O4350" s="5"/>
      <c r="P4350" s="9"/>
      <c r="Q4350" s="34"/>
      <c r="R4350" s="5"/>
      <c r="S4350" s="35"/>
    </row>
    <row r="4351" spans="1:19" ht="30" customHeight="1" x14ac:dyDescent="0.35">
      <c r="A4351" s="407"/>
      <c r="B4351" s="1577" t="s">
        <v>1860</v>
      </c>
      <c r="C4351" s="1390"/>
      <c r="D4351" s="1391"/>
      <c r="E4351" s="227">
        <v>185433</v>
      </c>
      <c r="F4351" s="407">
        <v>1</v>
      </c>
      <c r="G4351" s="503"/>
      <c r="H4351" s="757">
        <v>0.86</v>
      </c>
      <c r="I4351" s="1217">
        <f>+'FY2024 MILCON Inflation Table'!F13</f>
        <v>1.4708740491364725</v>
      </c>
      <c r="J4351" s="1218"/>
      <c r="K4351" s="497">
        <f t="shared" si="64"/>
        <v>317149.52041107381</v>
      </c>
      <c r="L4351" s="407" t="s">
        <v>40</v>
      </c>
      <c r="O4351" s="5"/>
      <c r="P4351" s="9"/>
      <c r="Q4351" s="34"/>
      <c r="R4351" s="5"/>
      <c r="S4351" s="35"/>
    </row>
    <row r="4352" spans="1:19" ht="30" customHeight="1" x14ac:dyDescent="0.35">
      <c r="A4352" s="407"/>
      <c r="B4352" s="1577" t="s">
        <v>1861</v>
      </c>
      <c r="C4352" s="1390"/>
      <c r="D4352" s="1391"/>
      <c r="E4352" s="227">
        <v>208000</v>
      </c>
      <c r="F4352" s="407">
        <v>1</v>
      </c>
      <c r="G4352" s="503"/>
      <c r="H4352" s="757">
        <v>0.89</v>
      </c>
      <c r="I4352" s="1217">
        <f>+'FY2024 MILCON Inflation Table'!F13</f>
        <v>1.4708740491364725</v>
      </c>
      <c r="J4352" s="1218"/>
      <c r="K4352" s="497">
        <f t="shared" si="64"/>
        <v>343754.83395549015</v>
      </c>
      <c r="L4352" s="407" t="s">
        <v>40</v>
      </c>
      <c r="O4352" s="5"/>
      <c r="P4352" s="9"/>
      <c r="Q4352" s="34"/>
      <c r="R4352" s="5"/>
      <c r="S4352" s="35"/>
    </row>
    <row r="4353" spans="1:19" ht="30" customHeight="1" x14ac:dyDescent="0.35">
      <c r="A4353" s="407"/>
      <c r="B4353" s="1577" t="s">
        <v>1862</v>
      </c>
      <c r="C4353" s="1390"/>
      <c r="D4353" s="1391"/>
      <c r="E4353" s="228">
        <v>352295.85</v>
      </c>
      <c r="F4353" s="407">
        <v>1</v>
      </c>
      <c r="G4353" s="503"/>
      <c r="H4353" s="757">
        <v>1.24</v>
      </c>
      <c r="I4353" s="1217">
        <f>'FY2024 MILCON Inflation Table'!F18</f>
        <v>1.1706170972389343</v>
      </c>
      <c r="J4353" s="1218"/>
      <c r="K4353" s="497">
        <f t="shared" si="64"/>
        <v>332583.50427122822</v>
      </c>
      <c r="L4353" s="407" t="s">
        <v>40</v>
      </c>
      <c r="O4353" s="5"/>
      <c r="P4353" s="9"/>
      <c r="Q4353" s="34"/>
      <c r="R4353" s="5"/>
      <c r="S4353" s="35"/>
    </row>
    <row r="4354" spans="1:19" ht="30" customHeight="1" x14ac:dyDescent="0.35">
      <c r="A4354" s="186"/>
      <c r="B4354" s="1158"/>
      <c r="C4354" s="567"/>
      <c r="D4354" s="567"/>
      <c r="E4354" s="655"/>
      <c r="F4354" s="407"/>
      <c r="G4354" s="193"/>
      <c r="H4354" s="503" t="s">
        <v>1863</v>
      </c>
      <c r="I4354" s="503"/>
      <c r="J4354" s="757"/>
      <c r="K4354" s="190">
        <f>AVERAGE(K4346:K4353)</f>
        <v>668271.38871828164</v>
      </c>
      <c r="L4354" s="407" t="s">
        <v>40</v>
      </c>
      <c r="N4354" s="10"/>
      <c r="O4354" s="5"/>
      <c r="P4354" s="9"/>
      <c r="Q4354" s="34"/>
      <c r="R4354" s="5"/>
      <c r="S4354" s="35"/>
    </row>
    <row r="4355" spans="1:19" ht="30" customHeight="1" thickBot="1" x14ac:dyDescent="0.4">
      <c r="A4355" s="186"/>
      <c r="B4355" s="1212" t="s">
        <v>1864</v>
      </c>
      <c r="C4355" s="1213"/>
      <c r="D4355" s="1214"/>
      <c r="E4355" s="117"/>
      <c r="F4355" s="711"/>
      <c r="G4355" s="1194" t="s">
        <v>257</v>
      </c>
      <c r="H4355" s="1195"/>
      <c r="I4355" s="1196"/>
      <c r="J4355" s="560">
        <f>VLOOKUP(B4343,'Mil Cost Premiums for PUCs'!$A$4:$R$285,18,FALSE)</f>
        <v>1.0905505199999999</v>
      </c>
      <c r="K4355" s="190">
        <f>+K4354*J4355</f>
        <v>728783.71046784404</v>
      </c>
      <c r="L4355" s="186" t="s">
        <v>40</v>
      </c>
      <c r="N4355" s="10"/>
      <c r="O4355" s="5"/>
      <c r="P4355" s="9"/>
      <c r="Q4355" s="34"/>
      <c r="R4355" s="5"/>
      <c r="S4355" s="35"/>
    </row>
    <row r="4356" spans="1:19" ht="30" customHeight="1" thickBot="1" x14ac:dyDescent="0.4">
      <c r="A4356" s="1199"/>
      <c r="B4356" s="1200"/>
      <c r="C4356" s="1200"/>
      <c r="D4356" s="1200"/>
      <c r="E4356" s="1200"/>
      <c r="F4356" s="1200"/>
      <c r="G4356" s="1200"/>
      <c r="H4356" s="1200"/>
      <c r="I4356" s="1200"/>
      <c r="J4356" s="1200"/>
      <c r="K4356" s="1200"/>
      <c r="L4356" s="1201"/>
      <c r="M4356" s="50"/>
      <c r="O4356" s="5"/>
      <c r="P4356" s="9"/>
      <c r="Q4356" s="34"/>
      <c r="R4356" s="5"/>
      <c r="S4356" s="35"/>
    </row>
    <row r="4357" spans="1:19" ht="30" customHeight="1" x14ac:dyDescent="0.35">
      <c r="A4357" s="388" t="s">
        <v>1</v>
      </c>
      <c r="B4357" s="389">
        <v>8601</v>
      </c>
      <c r="C4357" s="1205" t="s">
        <v>1865</v>
      </c>
      <c r="D4357" s="1206"/>
      <c r="E4357" s="392" t="s">
        <v>3</v>
      </c>
      <c r="F4357" s="393" t="s">
        <v>218</v>
      </c>
      <c r="G4357" s="390" t="s">
        <v>38</v>
      </c>
      <c r="H4357" s="154">
        <v>3.8</v>
      </c>
      <c r="I4357" s="392" t="s">
        <v>5</v>
      </c>
      <c r="J4357" s="1207" t="s">
        <v>2538</v>
      </c>
      <c r="K4357" s="1207"/>
      <c r="L4357" s="1208"/>
      <c r="M4357" s="98"/>
      <c r="O4357" s="5"/>
      <c r="P4357" s="9"/>
      <c r="Q4357" s="34"/>
      <c r="R4357" s="5"/>
      <c r="S4357" s="35"/>
    </row>
    <row r="4358" spans="1:19" ht="30" customHeight="1" x14ac:dyDescent="0.35">
      <c r="A4358" s="185" t="s">
        <v>177</v>
      </c>
      <c r="B4358" s="1272" t="s">
        <v>7</v>
      </c>
      <c r="C4358" s="1272"/>
      <c r="D4358" s="1272"/>
      <c r="E4358" s="397" t="s">
        <v>52</v>
      </c>
      <c r="F4358" s="185" t="s">
        <v>9</v>
      </c>
      <c r="G4358" s="1292" t="s">
        <v>54</v>
      </c>
      <c r="H4358" s="1293"/>
      <c r="I4358" s="1221" t="s">
        <v>179</v>
      </c>
      <c r="J4358" s="1222"/>
      <c r="K4358" s="1209" t="s">
        <v>180</v>
      </c>
      <c r="L4358" s="1210"/>
      <c r="M4358" s="163"/>
      <c r="O4358" s="5"/>
      <c r="P4358" s="9"/>
      <c r="Q4358" s="34"/>
      <c r="R4358" s="5"/>
      <c r="S4358" s="35"/>
    </row>
    <row r="4359" spans="1:19" ht="30" customHeight="1" x14ac:dyDescent="0.35">
      <c r="A4359" s="186">
        <v>86010</v>
      </c>
      <c r="B4359" s="1347" t="s">
        <v>2621</v>
      </c>
      <c r="C4359" s="1348"/>
      <c r="D4359" s="1349"/>
      <c r="E4359" s="267">
        <v>610.9</v>
      </c>
      <c r="F4359" s="203" t="s">
        <v>28</v>
      </c>
      <c r="G4359" s="203">
        <v>5280</v>
      </c>
      <c r="H4359" s="136" t="s">
        <v>1866</v>
      </c>
      <c r="I4359" s="1307">
        <f>+'FY2024 MILCON Inflation Table'!F22</f>
        <v>0.95834826759383673</v>
      </c>
      <c r="J4359" s="1308"/>
      <c r="K4359" s="199">
        <f>+E4359*G4359*I4359</f>
        <v>3091202.1712338352</v>
      </c>
      <c r="L4359" s="401" t="s">
        <v>218</v>
      </c>
      <c r="M4359" s="10"/>
      <c r="N4359" s="50"/>
      <c r="O4359" s="5"/>
      <c r="P4359" s="9"/>
      <c r="Q4359" s="34"/>
      <c r="R4359" s="5"/>
      <c r="S4359" s="35"/>
    </row>
    <row r="4360" spans="1:19" ht="30" customHeight="1" thickBot="1" x14ac:dyDescent="0.4">
      <c r="A4360" s="186"/>
      <c r="B4360" s="186"/>
      <c r="C4360" s="503"/>
      <c r="D4360" s="503"/>
      <c r="E4360" s="503"/>
      <c r="F4360" s="503"/>
      <c r="G4360" s="503"/>
      <c r="H4360" s="503"/>
      <c r="I4360" s="503"/>
      <c r="J4360" s="186" t="s">
        <v>37</v>
      </c>
      <c r="K4360" s="190">
        <f>+K4359</f>
        <v>3091202.1712338352</v>
      </c>
      <c r="L4360" s="186" t="s">
        <v>218</v>
      </c>
      <c r="O4360" s="5"/>
      <c r="P4360" s="9"/>
      <c r="Q4360" s="34"/>
      <c r="R4360" s="5"/>
      <c r="S4360" s="35"/>
    </row>
    <row r="4361" spans="1:19" ht="30" customHeight="1" thickBot="1" x14ac:dyDescent="0.4">
      <c r="A4361" s="1199"/>
      <c r="B4361" s="1200"/>
      <c r="C4361" s="1200"/>
      <c r="D4361" s="1200"/>
      <c r="E4361" s="1200"/>
      <c r="F4361" s="1200"/>
      <c r="G4361" s="1200"/>
      <c r="H4361" s="1200"/>
      <c r="I4361" s="1200"/>
      <c r="J4361" s="1200"/>
      <c r="K4361" s="1200"/>
      <c r="L4361" s="1201"/>
      <c r="M4361" s="10"/>
      <c r="N4361" s="64"/>
      <c r="O4361" s="5"/>
      <c r="P4361" s="9"/>
      <c r="Q4361" s="34"/>
      <c r="R4361" s="5"/>
      <c r="S4361" s="35"/>
    </row>
    <row r="4362" spans="1:19" ht="30" customHeight="1" x14ac:dyDescent="0.35">
      <c r="A4362" s="455" t="s">
        <v>1</v>
      </c>
      <c r="B4362" s="455">
        <v>8611</v>
      </c>
      <c r="C4362" s="1384" t="s">
        <v>1867</v>
      </c>
      <c r="D4362" s="1385"/>
      <c r="E4362" s="456" t="s">
        <v>3</v>
      </c>
      <c r="F4362" s="457" t="s">
        <v>28</v>
      </c>
      <c r="G4362" s="390" t="s">
        <v>38</v>
      </c>
      <c r="H4362" s="47">
        <v>209</v>
      </c>
      <c r="I4362" s="456" t="s">
        <v>5</v>
      </c>
      <c r="J4362" s="1411" t="s">
        <v>2812</v>
      </c>
      <c r="K4362" s="1411"/>
      <c r="L4362" s="1412"/>
      <c r="M4362" s="328"/>
      <c r="N4362" s="50"/>
      <c r="O4362" s="5"/>
      <c r="P4362" s="9"/>
      <c r="Q4362" s="34"/>
      <c r="R4362" s="5"/>
      <c r="S4362" s="35"/>
    </row>
    <row r="4363" spans="1:19" ht="30" customHeight="1" x14ac:dyDescent="0.35">
      <c r="A4363" s="185"/>
      <c r="B4363" s="1272" t="s">
        <v>7</v>
      </c>
      <c r="C4363" s="1272"/>
      <c r="D4363" s="1272"/>
      <c r="E4363" s="185" t="s">
        <v>52</v>
      </c>
      <c r="F4363" s="185" t="s">
        <v>53</v>
      </c>
      <c r="G4363" s="1219" t="s">
        <v>54</v>
      </c>
      <c r="H4363" s="1220"/>
      <c r="I4363" s="185" t="s">
        <v>55</v>
      </c>
      <c r="J4363" s="185" t="s">
        <v>56</v>
      </c>
      <c r="K4363" s="1209" t="s">
        <v>37</v>
      </c>
      <c r="L4363" s="1210"/>
      <c r="M4363" s="99"/>
      <c r="O4363" s="5"/>
      <c r="P4363" s="9"/>
      <c r="Q4363" s="34"/>
      <c r="R4363" s="5"/>
      <c r="S4363" s="35"/>
    </row>
    <row r="4364" spans="1:19" ht="30" customHeight="1" thickBot="1" x14ac:dyDescent="0.4">
      <c r="A4364" s="407"/>
      <c r="B4364" s="1263" t="s">
        <v>2811</v>
      </c>
      <c r="C4364" s="1263"/>
      <c r="D4364" s="1263"/>
      <c r="E4364" s="469">
        <v>14296.806415999999</v>
      </c>
      <c r="F4364" s="188" t="s">
        <v>28</v>
      </c>
      <c r="G4364" s="1332"/>
      <c r="H4364" s="1333"/>
      <c r="I4364" s="188"/>
      <c r="J4364" s="906">
        <f>+'FY2024 MILCON Inflation Table'!F18</f>
        <v>1.1706170972389343</v>
      </c>
      <c r="K4364" s="471">
        <f>E4364*J4364</f>
        <v>16736.086026484889</v>
      </c>
      <c r="L4364" s="188" t="s">
        <v>28</v>
      </c>
      <c r="M4364" s="50"/>
      <c r="N4364" s="64"/>
      <c r="O4364" s="5"/>
      <c r="P4364" s="9"/>
      <c r="Q4364" s="34"/>
      <c r="R4364" s="5"/>
      <c r="S4364" s="35"/>
    </row>
    <row r="4365" spans="1:19" ht="30" customHeight="1" thickBot="1" x14ac:dyDescent="0.4">
      <c r="A4365" s="1199"/>
      <c r="B4365" s="1200"/>
      <c r="C4365" s="1200"/>
      <c r="D4365" s="1200"/>
      <c r="E4365" s="1200"/>
      <c r="F4365" s="1200"/>
      <c r="G4365" s="1200"/>
      <c r="H4365" s="1200"/>
      <c r="I4365" s="1200"/>
      <c r="J4365" s="1200"/>
      <c r="K4365" s="1200"/>
      <c r="L4365" s="1201"/>
      <c r="M4365" s="50"/>
      <c r="O4365" s="5"/>
      <c r="P4365" s="9"/>
      <c r="Q4365" s="34"/>
      <c r="R4365" s="5"/>
      <c r="S4365" s="35"/>
    </row>
    <row r="4366" spans="1:19" ht="30" customHeight="1" x14ac:dyDescent="0.35">
      <c r="A4366" s="455" t="s">
        <v>1</v>
      </c>
      <c r="B4366" s="439">
        <v>8612</v>
      </c>
      <c r="C4366" s="1384" t="s">
        <v>1868</v>
      </c>
      <c r="D4366" s="1385"/>
      <c r="E4366" s="456" t="s">
        <v>3</v>
      </c>
      <c r="F4366" s="457" t="s">
        <v>40</v>
      </c>
      <c r="G4366" s="771" t="s">
        <v>2</v>
      </c>
      <c r="H4366" s="47">
        <v>1</v>
      </c>
      <c r="I4366" s="456" t="s">
        <v>5</v>
      </c>
      <c r="J4366" s="1411" t="s">
        <v>186</v>
      </c>
      <c r="K4366" s="1411"/>
      <c r="L4366" s="1412"/>
      <c r="O4366" s="5"/>
      <c r="P4366" s="9"/>
      <c r="Q4366" s="34"/>
      <c r="R4366" s="5"/>
      <c r="S4366" s="35"/>
    </row>
    <row r="4367" spans="1:19" ht="30" customHeight="1" x14ac:dyDescent="0.35">
      <c r="A4367" s="494" t="s">
        <v>187</v>
      </c>
      <c r="B4367" s="1280" t="s">
        <v>211</v>
      </c>
      <c r="C4367" s="1281"/>
      <c r="D4367" s="1282"/>
      <c r="E4367" s="566" t="s">
        <v>52</v>
      </c>
      <c r="F4367" s="566" t="s">
        <v>53</v>
      </c>
      <c r="G4367" s="1219" t="s">
        <v>54</v>
      </c>
      <c r="H4367" s="1220"/>
      <c r="I4367" s="185" t="s">
        <v>188</v>
      </c>
      <c r="J4367" s="185"/>
      <c r="K4367" s="1209" t="s">
        <v>180</v>
      </c>
      <c r="L4367" s="1210"/>
      <c r="O4367" s="5"/>
      <c r="P4367" s="9"/>
      <c r="Q4367" s="34"/>
      <c r="R4367" s="5"/>
      <c r="S4367" s="35"/>
    </row>
    <row r="4368" spans="1:19" ht="30" customHeight="1" x14ac:dyDescent="0.35">
      <c r="A4368" s="186" t="s">
        <v>1869</v>
      </c>
      <c r="B4368" s="1212" t="s">
        <v>1870</v>
      </c>
      <c r="C4368" s="1213"/>
      <c r="D4368" s="1214"/>
      <c r="E4368" s="7">
        <v>140000</v>
      </c>
      <c r="F4368" s="422" t="s">
        <v>40</v>
      </c>
      <c r="G4368" s="19"/>
      <c r="H4368" s="708"/>
      <c r="I4368" s="204">
        <v>1.17</v>
      </c>
      <c r="J4368" s="422"/>
      <c r="K4368" s="193">
        <f>+E4368*I4368</f>
        <v>163800</v>
      </c>
      <c r="L4368" s="422" t="s">
        <v>40</v>
      </c>
      <c r="O4368" s="5"/>
      <c r="P4368" s="9"/>
      <c r="Q4368" s="34"/>
      <c r="R4368" s="5"/>
      <c r="S4368" s="35"/>
    </row>
    <row r="4369" spans="1:20" ht="30" customHeight="1" x14ac:dyDescent="0.35">
      <c r="A4369" s="186"/>
      <c r="B4369" s="567"/>
      <c r="C4369" s="567"/>
      <c r="D4369" s="567"/>
      <c r="E4369" s="194"/>
      <c r="F4369" s="1215" t="s">
        <v>195</v>
      </c>
      <c r="G4369" s="1273" t="s">
        <v>196</v>
      </c>
      <c r="H4369" s="1273"/>
      <c r="I4369" s="1273"/>
      <c r="J4369" s="1273"/>
      <c r="K4369" s="196">
        <v>1.06</v>
      </c>
      <c r="L4369" s="186"/>
      <c r="O4369" s="5"/>
      <c r="P4369" s="9"/>
      <c r="Q4369" s="34"/>
      <c r="R4369" s="5"/>
      <c r="S4369" s="35"/>
    </row>
    <row r="4370" spans="1:20" ht="30" customHeight="1" x14ac:dyDescent="0.35">
      <c r="A4370" s="186"/>
      <c r="B4370" s="567"/>
      <c r="C4370" s="567"/>
      <c r="D4370" s="567"/>
      <c r="E4370" s="194"/>
      <c r="F4370" s="1216"/>
      <c r="G4370" s="1268" t="s">
        <v>197</v>
      </c>
      <c r="H4370" s="1268"/>
      <c r="I4370" s="1268"/>
      <c r="J4370" s="1268"/>
      <c r="K4370" s="196">
        <v>1.06</v>
      </c>
      <c r="L4370" s="186"/>
      <c r="O4370" s="5"/>
      <c r="P4370" s="9"/>
      <c r="Q4370" s="34"/>
      <c r="R4370" s="5"/>
      <c r="S4370" s="35"/>
    </row>
    <row r="4371" spans="1:20" ht="30" customHeight="1" x14ac:dyDescent="0.35">
      <c r="A4371" s="790"/>
      <c r="B4371" s="117"/>
      <c r="C4371" s="711"/>
      <c r="D4371" s="712"/>
      <c r="E4371" s="194"/>
      <c r="F4371" s="422"/>
      <c r="G4371" s="127"/>
      <c r="H4371" s="136"/>
      <c r="I4371" s="186"/>
      <c r="J4371" s="494" t="s">
        <v>37</v>
      </c>
      <c r="K4371" s="193">
        <f>+K4368*K4369/K4370</f>
        <v>163800</v>
      </c>
      <c r="L4371" s="186" t="s">
        <v>40</v>
      </c>
      <c r="O4371" s="5"/>
      <c r="P4371" s="9"/>
      <c r="Q4371" s="34"/>
      <c r="R4371" s="5"/>
      <c r="S4371" s="35"/>
    </row>
    <row r="4372" spans="1:20" ht="30" customHeight="1" x14ac:dyDescent="0.35">
      <c r="A4372" s="186"/>
      <c r="B4372" s="186"/>
      <c r="C4372" s="503"/>
      <c r="D4372" s="503"/>
      <c r="E4372" s="503"/>
      <c r="F4372" s="503"/>
      <c r="G4372" s="1374" t="s">
        <v>257</v>
      </c>
      <c r="H4372" s="1375"/>
      <c r="I4372" s="1376"/>
      <c r="J4372" s="560">
        <f>VLOOKUP(B4366,'Mil Cost Premiums for PUCs'!$A$4:$R$285,18,FALSE)</f>
        <v>1.0905505199999999</v>
      </c>
      <c r="K4372" s="193">
        <f>+K4371*J4372</f>
        <v>178632.17517599999</v>
      </c>
      <c r="L4372" s="186" t="s">
        <v>40</v>
      </c>
      <c r="O4372" s="5"/>
      <c r="P4372" s="9"/>
      <c r="Q4372" s="34"/>
      <c r="R4372" s="5"/>
      <c r="S4372" s="35"/>
    </row>
    <row r="4373" spans="1:20" ht="30" customHeight="1" x14ac:dyDescent="0.35">
      <c r="A4373" s="569"/>
      <c r="B4373" s="569"/>
      <c r="C4373" s="510"/>
      <c r="D4373" s="510"/>
      <c r="E4373" s="510"/>
      <c r="F4373" s="510"/>
      <c r="G4373" s="1191" t="s">
        <v>2817</v>
      </c>
      <c r="H4373" s="1192"/>
      <c r="I4373" s="1193"/>
      <c r="J4373" s="570">
        <v>1.1214</v>
      </c>
      <c r="K4373" s="285">
        <f>+K4372*J4373</f>
        <v>200318.12124236638</v>
      </c>
      <c r="L4373" s="186" t="s">
        <v>40</v>
      </c>
      <c r="M4373" s="50"/>
      <c r="O4373" s="5"/>
      <c r="P4373" s="9"/>
      <c r="Q4373" s="34"/>
      <c r="R4373" s="5"/>
      <c r="S4373" s="35"/>
    </row>
    <row r="4374" spans="1:20" ht="30" customHeight="1" thickBot="1" x14ac:dyDescent="0.4">
      <c r="A4374" s="569"/>
      <c r="B4374" s="569"/>
      <c r="C4374" s="510"/>
      <c r="D4374" s="510"/>
      <c r="E4374" s="510"/>
      <c r="F4374" s="510"/>
      <c r="G4374" s="1191" t="s">
        <v>3000</v>
      </c>
      <c r="H4374" s="1192"/>
      <c r="I4374" s="1193"/>
      <c r="J4374" s="570">
        <v>1.0438745311870361</v>
      </c>
      <c r="K4374" s="285">
        <f>+K4373*J4374</f>
        <v>209106.98490014306</v>
      </c>
      <c r="L4374" s="186" t="s">
        <v>40</v>
      </c>
      <c r="M4374" s="50"/>
      <c r="O4374" s="5"/>
      <c r="P4374" s="9"/>
      <c r="Q4374" s="34"/>
      <c r="R4374" s="5"/>
      <c r="S4374" s="35"/>
    </row>
    <row r="4375" spans="1:20" ht="30" customHeight="1" thickBot="1" x14ac:dyDescent="0.4">
      <c r="A4375" s="1199"/>
      <c r="B4375" s="1200"/>
      <c r="C4375" s="1200"/>
      <c r="D4375" s="1200"/>
      <c r="E4375" s="1200"/>
      <c r="F4375" s="1200"/>
      <c r="G4375" s="1200"/>
      <c r="H4375" s="1200"/>
      <c r="I4375" s="1200"/>
      <c r="J4375" s="1200"/>
      <c r="K4375" s="1200"/>
      <c r="L4375" s="1201"/>
      <c r="S4375" s="10"/>
      <c r="T4375" s="10"/>
    </row>
    <row r="4376" spans="1:20" ht="30" customHeight="1" x14ac:dyDescent="0.35">
      <c r="A4376" s="388" t="s">
        <v>1</v>
      </c>
      <c r="B4376" s="389">
        <v>8711</v>
      </c>
      <c r="C4376" s="1205" t="s">
        <v>1871</v>
      </c>
      <c r="D4376" s="1206"/>
      <c r="E4376" s="392" t="s">
        <v>3</v>
      </c>
      <c r="F4376" s="393" t="s">
        <v>28</v>
      </c>
      <c r="G4376" s="390" t="s">
        <v>38</v>
      </c>
      <c r="H4376" s="132">
        <v>8798.7949293003603</v>
      </c>
      <c r="I4376" s="392" t="s">
        <v>5</v>
      </c>
      <c r="J4376" s="1207" t="s">
        <v>2538</v>
      </c>
      <c r="K4376" s="1207"/>
      <c r="L4376" s="1208"/>
      <c r="M4376" s="99"/>
      <c r="S4376" s="10"/>
      <c r="T4376" s="10"/>
    </row>
    <row r="4377" spans="1:20" ht="30" customHeight="1" x14ac:dyDescent="0.35">
      <c r="A4377" s="185" t="s">
        <v>177</v>
      </c>
      <c r="B4377" s="1272" t="s">
        <v>7</v>
      </c>
      <c r="C4377" s="1272"/>
      <c r="D4377" s="1272"/>
      <c r="E4377" s="397" t="s">
        <v>52</v>
      </c>
      <c r="F4377" s="185" t="s">
        <v>9</v>
      </c>
      <c r="G4377" s="1292" t="s">
        <v>54</v>
      </c>
      <c r="H4377" s="1293"/>
      <c r="I4377" s="1221" t="s">
        <v>179</v>
      </c>
      <c r="J4377" s="1222"/>
      <c r="K4377" s="1209" t="s">
        <v>180</v>
      </c>
      <c r="L4377" s="1210"/>
      <c r="M4377" s="163"/>
      <c r="O4377" s="5"/>
      <c r="P4377" s="5"/>
      <c r="Q4377" s="34"/>
      <c r="R4377" s="5"/>
      <c r="S4377" s="35"/>
    </row>
    <row r="4378" spans="1:20" ht="30" customHeight="1" x14ac:dyDescent="0.35">
      <c r="A4378" s="186">
        <v>87110</v>
      </c>
      <c r="B4378" s="1347" t="s">
        <v>2625</v>
      </c>
      <c r="C4378" s="1348"/>
      <c r="D4378" s="1349"/>
      <c r="E4378" s="267">
        <v>117.59</v>
      </c>
      <c r="F4378" s="203" t="s">
        <v>28</v>
      </c>
      <c r="G4378" s="203"/>
      <c r="H4378" s="136"/>
      <c r="I4378" s="1307">
        <f>+'FY2024 MILCON Inflation Table'!F22</f>
        <v>0.95834826759383673</v>
      </c>
      <c r="J4378" s="1308"/>
      <c r="K4378" s="199">
        <f>+E4378*I4378</f>
        <v>112.69217278635927</v>
      </c>
      <c r="L4378" s="401" t="s">
        <v>28</v>
      </c>
      <c r="M4378" s="10"/>
      <c r="O4378" s="5"/>
      <c r="P4378" s="9"/>
      <c r="Q4378" s="34"/>
      <c r="R4378" s="5"/>
      <c r="S4378" s="35"/>
    </row>
    <row r="4379" spans="1:20" ht="30" customHeight="1" x14ac:dyDescent="0.35">
      <c r="A4379" s="186">
        <v>87110</v>
      </c>
      <c r="B4379" s="1347" t="s">
        <v>2626</v>
      </c>
      <c r="C4379" s="1348"/>
      <c r="D4379" s="1349"/>
      <c r="E4379" s="309">
        <v>151.63</v>
      </c>
      <c r="F4379" s="306" t="s">
        <v>28</v>
      </c>
      <c r="G4379" s="17"/>
      <c r="H4379" s="708"/>
      <c r="I4379" s="1307">
        <f>+I4378</f>
        <v>0.95834826759383673</v>
      </c>
      <c r="J4379" s="1308"/>
      <c r="K4379" s="199">
        <f>+E4379*I4379</f>
        <v>145.31434781525346</v>
      </c>
      <c r="L4379" s="401" t="s">
        <v>28</v>
      </c>
      <c r="M4379" s="10"/>
      <c r="S4379" s="10"/>
      <c r="T4379" s="10"/>
    </row>
    <row r="4380" spans="1:20" ht="30" customHeight="1" x14ac:dyDescent="0.35">
      <c r="A4380" s="186"/>
      <c r="B4380" s="373"/>
      <c r="C4380" s="374"/>
      <c r="D4380" s="375"/>
      <c r="E4380" s="7"/>
      <c r="F4380" s="422"/>
      <c r="G4380" s="707"/>
      <c r="H4380" s="708"/>
      <c r="I4380" s="186"/>
      <c r="J4380" s="188" t="s">
        <v>1873</v>
      </c>
      <c r="K4380" s="199">
        <f>AVERAGE(K4378:K4379)</f>
        <v>129.00326030080635</v>
      </c>
      <c r="L4380" s="422" t="s">
        <v>28</v>
      </c>
      <c r="M4380" s="50"/>
      <c r="O4380" s="5"/>
      <c r="P4380" s="9"/>
      <c r="Q4380" s="34"/>
      <c r="R4380" s="5"/>
      <c r="S4380" s="35"/>
    </row>
    <row r="4381" spans="1:20" ht="30" customHeight="1" x14ac:dyDescent="0.35">
      <c r="A4381" s="1016">
        <v>83210</v>
      </c>
      <c r="B4381" s="1212" t="s">
        <v>2627</v>
      </c>
      <c r="C4381" s="1213"/>
      <c r="D4381" s="1214"/>
      <c r="E4381" s="309">
        <v>12746.71</v>
      </c>
      <c r="F4381" s="306" t="s">
        <v>40</v>
      </c>
      <c r="G4381" s="707">
        <v>400</v>
      </c>
      <c r="H4381" s="708" t="s">
        <v>1749</v>
      </c>
      <c r="I4381" s="1307">
        <f>+I4378</f>
        <v>0.95834826759383673</v>
      </c>
      <c r="J4381" s="1308"/>
      <c r="K4381" s="199">
        <f>+E4381/G4381*I4381</f>
        <v>30.539468615052584</v>
      </c>
      <c r="L4381" s="422" t="s">
        <v>28</v>
      </c>
      <c r="N4381" s="50"/>
      <c r="O4381" s="5"/>
      <c r="P4381" s="9"/>
    </row>
    <row r="4382" spans="1:20" ht="30" customHeight="1" x14ac:dyDescent="0.35">
      <c r="A4382" s="503"/>
      <c r="B4382" s="1211"/>
      <c r="C4382" s="1211"/>
      <c r="D4382" s="1211"/>
      <c r="E4382" s="194"/>
      <c r="F4382" s="186"/>
      <c r="G4382" s="186"/>
      <c r="H4382" s="186"/>
      <c r="I4382" s="186"/>
      <c r="J4382" s="186" t="s">
        <v>223</v>
      </c>
      <c r="K4382" s="205">
        <f>+K4380+K4381</f>
        <v>159.54272891585893</v>
      </c>
      <c r="L4382" s="186" t="s">
        <v>28</v>
      </c>
      <c r="N4382" s="50"/>
      <c r="O4382" s="5"/>
      <c r="P4382" s="9"/>
      <c r="Q4382" s="34"/>
      <c r="R4382" s="5"/>
      <c r="S4382" s="35"/>
    </row>
    <row r="4383" spans="1:20" ht="30" customHeight="1" thickBot="1" x14ac:dyDescent="0.4">
      <c r="A4383" s="503"/>
      <c r="B4383" s="186"/>
      <c r="C4383" s="503"/>
      <c r="D4383" s="503"/>
      <c r="E4383" s="503"/>
      <c r="F4383" s="503"/>
      <c r="G4383" s="503"/>
      <c r="H4383" s="503"/>
      <c r="I4383" s="503"/>
      <c r="J4383" s="494" t="s">
        <v>37</v>
      </c>
      <c r="K4383" s="202">
        <f>+K4382</f>
        <v>159.54272891585893</v>
      </c>
      <c r="L4383" s="186" t="s">
        <v>28</v>
      </c>
      <c r="O4383" s="5"/>
      <c r="P4383" s="9"/>
      <c r="Q4383" s="34"/>
      <c r="R4383" s="5"/>
      <c r="S4383" s="35"/>
    </row>
    <row r="4384" spans="1:20" ht="30" customHeight="1" thickBot="1" x14ac:dyDescent="0.4">
      <c r="A4384" s="1199"/>
      <c r="B4384" s="1200"/>
      <c r="C4384" s="1200"/>
      <c r="D4384" s="1200"/>
      <c r="E4384" s="1200"/>
      <c r="F4384" s="1200"/>
      <c r="G4384" s="1200"/>
      <c r="H4384" s="1200"/>
      <c r="I4384" s="1200"/>
      <c r="J4384" s="1200"/>
      <c r="K4384" s="1200"/>
      <c r="L4384" s="1201"/>
      <c r="N4384" s="50"/>
      <c r="O4384" s="5"/>
      <c r="P4384" s="9"/>
      <c r="Q4384" s="34"/>
      <c r="R4384" s="5"/>
      <c r="S4384" s="35"/>
    </row>
    <row r="4385" spans="1:19" ht="30" customHeight="1" x14ac:dyDescent="0.35">
      <c r="A4385" s="388" t="s">
        <v>1</v>
      </c>
      <c r="B4385" s="389">
        <v>8712</v>
      </c>
      <c r="C4385" s="1205" t="s">
        <v>1874</v>
      </c>
      <c r="D4385" s="1206"/>
      <c r="E4385" s="392" t="s">
        <v>3</v>
      </c>
      <c r="F4385" s="393" t="s">
        <v>28</v>
      </c>
      <c r="G4385" s="390" t="s">
        <v>38</v>
      </c>
      <c r="H4385" s="146">
        <v>932.98669673055201</v>
      </c>
      <c r="I4385" s="392" t="s">
        <v>5</v>
      </c>
      <c r="J4385" s="1207" t="s">
        <v>2874</v>
      </c>
      <c r="K4385" s="1207"/>
      <c r="L4385" s="1208"/>
      <c r="O4385" s="5"/>
      <c r="P4385" s="9"/>
      <c r="Q4385" s="34"/>
      <c r="R4385" s="5"/>
      <c r="S4385" s="35"/>
    </row>
    <row r="4386" spans="1:19" ht="30" customHeight="1" x14ac:dyDescent="0.35">
      <c r="A4386" s="494" t="s">
        <v>187</v>
      </c>
      <c r="B4386" s="1280" t="s">
        <v>211</v>
      </c>
      <c r="C4386" s="1281"/>
      <c r="D4386" s="1282"/>
      <c r="E4386" s="566" t="s">
        <v>52</v>
      </c>
      <c r="F4386" s="566" t="s">
        <v>53</v>
      </c>
      <c r="G4386" s="1219" t="s">
        <v>54</v>
      </c>
      <c r="H4386" s="1220"/>
      <c r="I4386" s="185" t="s">
        <v>188</v>
      </c>
      <c r="J4386" s="185"/>
      <c r="K4386" s="1209" t="s">
        <v>180</v>
      </c>
      <c r="L4386" s="1210"/>
      <c r="M4386" s="10"/>
      <c r="N4386" s="10"/>
      <c r="O4386" s="5"/>
      <c r="P4386" s="9"/>
      <c r="Q4386" s="34"/>
      <c r="R4386" s="5"/>
      <c r="S4386" s="35"/>
    </row>
    <row r="4387" spans="1:19" ht="30" customHeight="1" x14ac:dyDescent="0.35">
      <c r="A4387" s="186" t="s">
        <v>345</v>
      </c>
      <c r="B4387" s="1212" t="s">
        <v>2951</v>
      </c>
      <c r="C4387" s="1213"/>
      <c r="D4387" s="1214"/>
      <c r="E4387" s="7">
        <f>+(22.25+25.5)/2</f>
        <v>23.875</v>
      </c>
      <c r="F4387" s="422" t="s">
        <v>108</v>
      </c>
      <c r="G4387" s="19">
        <v>8</v>
      </c>
      <c r="H4387" s="708" t="s">
        <v>1875</v>
      </c>
      <c r="I4387" s="204">
        <v>1.01</v>
      </c>
      <c r="J4387" s="422"/>
      <c r="K4387" s="193">
        <f>+E4387*G4387*I4387</f>
        <v>192.91</v>
      </c>
      <c r="L4387" s="422" t="s">
        <v>28</v>
      </c>
      <c r="M4387" s="10"/>
      <c r="N4387" s="10"/>
      <c r="O4387" s="5"/>
      <c r="P4387" s="9"/>
      <c r="Q4387" s="34"/>
      <c r="R4387" s="5"/>
      <c r="S4387" s="35"/>
    </row>
    <row r="4388" spans="1:19" ht="30" customHeight="1" x14ac:dyDescent="0.35">
      <c r="A4388" s="790"/>
      <c r="B4388" s="1202" t="s">
        <v>1876</v>
      </c>
      <c r="C4388" s="1203"/>
      <c r="D4388" s="1204"/>
      <c r="E4388" s="194"/>
      <c r="F4388" s="422"/>
      <c r="G4388" s="127"/>
      <c r="H4388" s="136"/>
      <c r="I4388" s="186"/>
      <c r="J4388" s="186"/>
      <c r="K4388" s="194">
        <f>+K4387*2</f>
        <v>385.82</v>
      </c>
      <c r="L4388" s="186" t="s">
        <v>28</v>
      </c>
      <c r="M4388" s="10"/>
      <c r="O4388" s="14"/>
      <c r="P4388" s="9"/>
      <c r="Q4388" s="34"/>
      <c r="R4388" s="5"/>
      <c r="S4388" s="35"/>
    </row>
    <row r="4389" spans="1:19" ht="30" customHeight="1" x14ac:dyDescent="0.35">
      <c r="A4389" s="186"/>
      <c r="B4389" s="1202" t="s">
        <v>1877</v>
      </c>
      <c r="C4389" s="1203"/>
      <c r="D4389" s="1204"/>
      <c r="E4389" s="194"/>
      <c r="F4389" s="1215" t="s">
        <v>195</v>
      </c>
      <c r="G4389" s="1273" t="s">
        <v>196</v>
      </c>
      <c r="H4389" s="1273"/>
      <c r="I4389" s="1273"/>
      <c r="J4389" s="1273"/>
      <c r="K4389" s="196">
        <v>1.05</v>
      </c>
      <c r="L4389" s="186"/>
      <c r="O4389" s="14"/>
      <c r="P4389" s="9"/>
      <c r="Q4389" s="34"/>
      <c r="R4389" s="5"/>
      <c r="S4389" s="35"/>
    </row>
    <row r="4390" spans="1:19" ht="30" customHeight="1" x14ac:dyDescent="0.35">
      <c r="A4390" s="186"/>
      <c r="B4390" s="567"/>
      <c r="C4390" s="567"/>
      <c r="D4390" s="567"/>
      <c r="E4390" s="194"/>
      <c r="F4390" s="1216"/>
      <c r="G4390" s="1268" t="s">
        <v>2875</v>
      </c>
      <c r="H4390" s="1268"/>
      <c r="I4390" s="1268"/>
      <c r="J4390" s="1268"/>
      <c r="K4390" s="196">
        <v>1.07</v>
      </c>
      <c r="L4390" s="186"/>
      <c r="O4390" s="34"/>
      <c r="P4390" s="9"/>
      <c r="Q4390" s="34"/>
      <c r="R4390" s="5"/>
      <c r="S4390" s="35"/>
    </row>
    <row r="4391" spans="1:19" ht="30" customHeight="1" x14ac:dyDescent="0.35">
      <c r="A4391" s="186"/>
      <c r="B4391" s="186"/>
      <c r="C4391" s="503"/>
      <c r="D4391" s="503"/>
      <c r="E4391" s="503"/>
      <c r="F4391" s="503"/>
      <c r="G4391" s="503"/>
      <c r="H4391" s="503"/>
      <c r="I4391" s="503"/>
      <c r="J4391" s="503" t="s">
        <v>37</v>
      </c>
      <c r="K4391" s="193">
        <f>+K4388*K4389/K4390</f>
        <v>378.60841121495326</v>
      </c>
      <c r="L4391" s="186" t="s">
        <v>28</v>
      </c>
      <c r="O4391" s="539"/>
      <c r="P4391" s="9"/>
      <c r="Q4391" s="34"/>
      <c r="R4391" s="5"/>
      <c r="S4391" s="35"/>
    </row>
    <row r="4392" spans="1:19" ht="30" customHeight="1" thickBot="1" x14ac:dyDescent="0.4">
      <c r="A4392" s="186"/>
      <c r="B4392" s="186"/>
      <c r="C4392" s="503"/>
      <c r="D4392" s="503"/>
      <c r="E4392" s="503"/>
      <c r="F4392" s="503"/>
      <c r="G4392" s="1366" t="s">
        <v>257</v>
      </c>
      <c r="H4392" s="1367"/>
      <c r="I4392" s="1368"/>
      <c r="J4392" s="560">
        <f>VLOOKUP(B4385,'Mil Cost Premiums for PUCs'!$A$4:$R$285,18,FALSE)</f>
        <v>1.0209999999999999</v>
      </c>
      <c r="K4392" s="193">
        <f>+K4391*J4392</f>
        <v>386.55918785046725</v>
      </c>
      <c r="L4392" s="186" t="s">
        <v>28</v>
      </c>
    </row>
    <row r="4393" spans="1:19" ht="30" customHeight="1" thickBot="1" x14ac:dyDescent="0.4">
      <c r="A4393" s="1199"/>
      <c r="B4393" s="1200"/>
      <c r="C4393" s="1200"/>
      <c r="D4393" s="1200"/>
      <c r="E4393" s="1200"/>
      <c r="F4393" s="1200"/>
      <c r="G4393" s="1200"/>
      <c r="H4393" s="1200"/>
      <c r="I4393" s="1200"/>
      <c r="J4393" s="1200"/>
      <c r="K4393" s="1200"/>
      <c r="L4393" s="1201"/>
      <c r="N4393" s="50"/>
      <c r="O4393" s="5"/>
      <c r="P4393" s="9"/>
      <c r="Q4393" s="34"/>
      <c r="R4393" s="5"/>
      <c r="S4393" s="35"/>
    </row>
    <row r="4394" spans="1:19" ht="30" customHeight="1" x14ac:dyDescent="0.35">
      <c r="A4394" s="388" t="s">
        <v>1</v>
      </c>
      <c r="B4394" s="389">
        <v>8713</v>
      </c>
      <c r="C4394" s="1205" t="s">
        <v>1878</v>
      </c>
      <c r="D4394" s="1206"/>
      <c r="E4394" s="392" t="s">
        <v>3</v>
      </c>
      <c r="F4394" s="393" t="s">
        <v>40</v>
      </c>
      <c r="G4394" s="520" t="s">
        <v>2</v>
      </c>
      <c r="H4394" s="146">
        <v>1</v>
      </c>
      <c r="I4394" s="392" t="s">
        <v>5</v>
      </c>
      <c r="J4394" s="1207" t="s">
        <v>1100</v>
      </c>
      <c r="K4394" s="1207"/>
      <c r="L4394" s="1208"/>
      <c r="M4394" s="99"/>
      <c r="O4394" s="5"/>
      <c r="P4394" s="9"/>
      <c r="Q4394" s="34"/>
      <c r="R4394" s="5"/>
      <c r="S4394" s="35"/>
    </row>
    <row r="4395" spans="1:19" ht="30" customHeight="1" x14ac:dyDescent="0.35">
      <c r="A4395" s="185" t="s">
        <v>6</v>
      </c>
      <c r="B4395" s="1272" t="s">
        <v>7</v>
      </c>
      <c r="C4395" s="1272"/>
      <c r="D4395" s="1272"/>
      <c r="E4395" s="185" t="s">
        <v>8</v>
      </c>
      <c r="F4395" s="185" t="s">
        <v>9</v>
      </c>
      <c r="G4395" s="185" t="s">
        <v>10</v>
      </c>
      <c r="H4395" s="185" t="s">
        <v>11</v>
      </c>
      <c r="I4395" s="185" t="s">
        <v>12</v>
      </c>
      <c r="J4395" s="494" t="s">
        <v>2774</v>
      </c>
      <c r="K4395" s="494" t="s">
        <v>13</v>
      </c>
      <c r="L4395" s="494"/>
      <c r="M4395" s="170"/>
      <c r="O4395" s="5"/>
      <c r="P4395" s="9"/>
      <c r="Q4395" s="34"/>
      <c r="R4395" s="5"/>
      <c r="S4395" s="35"/>
    </row>
    <row r="4396" spans="1:19" ht="30" customHeight="1" x14ac:dyDescent="0.35">
      <c r="A4396" s="757" t="s">
        <v>1879</v>
      </c>
      <c r="B4396" s="1585" t="s">
        <v>1880</v>
      </c>
      <c r="C4396" s="1585"/>
      <c r="D4396" s="1585"/>
      <c r="E4396" s="757">
        <v>796</v>
      </c>
      <c r="F4396" s="407" t="s">
        <v>28</v>
      </c>
      <c r="G4396" s="497">
        <v>11926.3522861775</v>
      </c>
      <c r="H4396" s="497">
        <v>12154.399485133899</v>
      </c>
      <c r="I4396" s="497">
        <v>2026.3219903699601</v>
      </c>
      <c r="J4396" s="497">
        <v>0</v>
      </c>
      <c r="K4396" s="497">
        <v>26107.073761681298</v>
      </c>
      <c r="L4396" s="407" t="s">
        <v>28</v>
      </c>
      <c r="M4396" s="98"/>
      <c r="O4396" s="15"/>
      <c r="P4396" s="9"/>
      <c r="Q4396" s="34"/>
      <c r="R4396" s="5"/>
      <c r="S4396" s="35"/>
    </row>
    <row r="4397" spans="1:19" ht="30" customHeight="1" x14ac:dyDescent="0.35">
      <c r="A4397" s="757" t="s">
        <v>1881</v>
      </c>
      <c r="B4397" s="1265" t="s">
        <v>1882</v>
      </c>
      <c r="C4397" s="1265"/>
      <c r="D4397" s="1265"/>
      <c r="E4397" s="757">
        <v>1.62</v>
      </c>
      <c r="F4397" s="407" t="s">
        <v>1883</v>
      </c>
      <c r="G4397" s="497">
        <v>0</v>
      </c>
      <c r="H4397" s="497">
        <v>5616.6464400050299</v>
      </c>
      <c r="I4397" s="497">
        <v>7297.7863792123599</v>
      </c>
      <c r="J4397" s="497">
        <v>0</v>
      </c>
      <c r="K4397" s="497">
        <v>12914.4328192174</v>
      </c>
      <c r="L4397" s="407" t="s">
        <v>1883</v>
      </c>
      <c r="M4397" s="98"/>
      <c r="O4397" s="5"/>
      <c r="P4397" s="9"/>
      <c r="Q4397" s="34"/>
      <c r="R4397" s="5"/>
      <c r="S4397" s="35"/>
    </row>
    <row r="4398" spans="1:19" ht="30" customHeight="1" x14ac:dyDescent="0.35">
      <c r="A4398" s="757" t="s">
        <v>1884</v>
      </c>
      <c r="B4398" s="1265" t="s">
        <v>1885</v>
      </c>
      <c r="C4398" s="1265"/>
      <c r="D4398" s="1265"/>
      <c r="E4398" s="502">
        <v>3131.15</v>
      </c>
      <c r="F4398" s="407" t="s">
        <v>4</v>
      </c>
      <c r="G4398" s="497">
        <v>0</v>
      </c>
      <c r="H4398" s="497">
        <v>42023.3586064665</v>
      </c>
      <c r="I4398" s="497">
        <v>0</v>
      </c>
      <c r="J4398" s="497">
        <v>0</v>
      </c>
      <c r="K4398" s="497">
        <v>42023.3586064665</v>
      </c>
      <c r="L4398" s="407" t="s">
        <v>4</v>
      </c>
      <c r="M4398" s="98"/>
      <c r="O4398" s="5"/>
      <c r="P4398" s="9"/>
      <c r="Q4398" s="34"/>
      <c r="R4398" s="5"/>
      <c r="S4398" s="35"/>
    </row>
    <row r="4399" spans="1:19" ht="30" customHeight="1" x14ac:dyDescent="0.35">
      <c r="A4399" s="757" t="s">
        <v>1886</v>
      </c>
      <c r="B4399" s="1265" t="s">
        <v>1887</v>
      </c>
      <c r="C4399" s="1265"/>
      <c r="D4399" s="1265"/>
      <c r="E4399" s="502">
        <v>1004.61</v>
      </c>
      <c r="F4399" s="407" t="s">
        <v>16</v>
      </c>
      <c r="G4399" s="497">
        <v>0</v>
      </c>
      <c r="H4399" s="497">
        <v>152300.17502138601</v>
      </c>
      <c r="I4399" s="497">
        <v>0</v>
      </c>
      <c r="J4399" s="497">
        <v>0</v>
      </c>
      <c r="K4399" s="497">
        <v>152300.17502138601</v>
      </c>
      <c r="L4399" s="407" t="s">
        <v>16</v>
      </c>
      <c r="M4399" s="98"/>
      <c r="O4399" s="5"/>
      <c r="P4399" s="9"/>
      <c r="Q4399" s="34"/>
      <c r="R4399" s="5"/>
      <c r="S4399" s="35"/>
    </row>
    <row r="4400" spans="1:19" ht="30" customHeight="1" x14ac:dyDescent="0.35">
      <c r="A4400" s="757" t="s">
        <v>1888</v>
      </c>
      <c r="B4400" s="1265" t="s">
        <v>1889</v>
      </c>
      <c r="C4400" s="1265"/>
      <c r="D4400" s="1265"/>
      <c r="E4400" s="502">
        <v>20092.23</v>
      </c>
      <c r="F4400" s="407" t="s">
        <v>16</v>
      </c>
      <c r="G4400" s="497">
        <v>0</v>
      </c>
      <c r="H4400" s="497">
        <v>186524.73779747801</v>
      </c>
      <c r="I4400" s="497">
        <v>109002.647932166</v>
      </c>
      <c r="J4400" s="497">
        <v>0</v>
      </c>
      <c r="K4400" s="497">
        <v>295527.38572964398</v>
      </c>
      <c r="L4400" s="407" t="s">
        <v>16</v>
      </c>
      <c r="M4400" s="98"/>
      <c r="N4400" s="50"/>
      <c r="P4400" s="9"/>
      <c r="Q4400" s="34"/>
      <c r="R4400" s="5"/>
      <c r="S4400" s="35"/>
    </row>
    <row r="4401" spans="1:25" ht="30" customHeight="1" x14ac:dyDescent="0.35">
      <c r="A4401" s="757" t="s">
        <v>1890</v>
      </c>
      <c r="B4401" s="1265" t="s">
        <v>1891</v>
      </c>
      <c r="C4401" s="1265"/>
      <c r="D4401" s="1265"/>
      <c r="E4401" s="502">
        <v>20092.23</v>
      </c>
      <c r="F4401" s="407" t="s">
        <v>16</v>
      </c>
      <c r="G4401" s="497">
        <v>1217795.1508905001</v>
      </c>
      <c r="H4401" s="497">
        <v>125756.497429069</v>
      </c>
      <c r="I4401" s="497">
        <v>323654.01616781502</v>
      </c>
      <c r="J4401" s="497">
        <v>0</v>
      </c>
      <c r="K4401" s="497">
        <v>1667205.6644873801</v>
      </c>
      <c r="L4401" s="407" t="s">
        <v>16</v>
      </c>
      <c r="M4401" s="98"/>
      <c r="P4401" s="9"/>
      <c r="Q4401" s="34"/>
      <c r="R4401" s="5"/>
      <c r="S4401" s="35"/>
    </row>
    <row r="4402" spans="1:25" ht="30" customHeight="1" x14ac:dyDescent="0.35">
      <c r="A4402" s="757" t="s">
        <v>1892</v>
      </c>
      <c r="B4402" s="1265" t="s">
        <v>1893</v>
      </c>
      <c r="C4402" s="1265"/>
      <c r="D4402" s="1265"/>
      <c r="E4402" s="502">
        <v>2009.22</v>
      </c>
      <c r="F4402" s="407" t="s">
        <v>16</v>
      </c>
      <c r="G4402" s="497">
        <v>0</v>
      </c>
      <c r="H4402" s="497">
        <v>7174.0176651802904</v>
      </c>
      <c r="I4402" s="497">
        <v>838.48065522101001</v>
      </c>
      <c r="J4402" s="497">
        <v>0</v>
      </c>
      <c r="K4402" s="497">
        <v>8012.4983204012897</v>
      </c>
      <c r="L4402" s="407" t="s">
        <v>16</v>
      </c>
      <c r="M4402" s="98"/>
      <c r="P4402" s="9"/>
      <c r="Q4402" s="34"/>
      <c r="R4402" s="5"/>
      <c r="S4402" s="35"/>
    </row>
    <row r="4403" spans="1:25" ht="30" customHeight="1" x14ac:dyDescent="0.35">
      <c r="A4403" s="757" t="s">
        <v>1894</v>
      </c>
      <c r="B4403" s="1265" t="s">
        <v>1895</v>
      </c>
      <c r="C4403" s="1265"/>
      <c r="D4403" s="1265"/>
      <c r="E4403" s="502">
        <v>18083</v>
      </c>
      <c r="F4403" s="407" t="s">
        <v>16</v>
      </c>
      <c r="G4403" s="497">
        <v>0</v>
      </c>
      <c r="H4403" s="497">
        <v>17850.6636981585</v>
      </c>
      <c r="I4403" s="497">
        <v>46787.272308578198</v>
      </c>
      <c r="J4403" s="497">
        <v>0</v>
      </c>
      <c r="K4403" s="497">
        <v>64637.936006736702</v>
      </c>
      <c r="L4403" s="407" t="s">
        <v>16</v>
      </c>
      <c r="M4403" s="98"/>
      <c r="P4403" s="9"/>
      <c r="Q4403" s="34"/>
      <c r="R4403" s="5"/>
      <c r="S4403" s="35"/>
    </row>
    <row r="4404" spans="1:25" ht="30" customHeight="1" x14ac:dyDescent="0.35">
      <c r="A4404" s="757" t="s">
        <v>1896</v>
      </c>
      <c r="B4404" s="1265" t="s">
        <v>1897</v>
      </c>
      <c r="C4404" s="1265"/>
      <c r="D4404" s="1265"/>
      <c r="E4404" s="502">
        <v>928</v>
      </c>
      <c r="F4404" s="407" t="s">
        <v>28</v>
      </c>
      <c r="G4404" s="497">
        <v>4784.6865394687802</v>
      </c>
      <c r="H4404" s="497">
        <v>7659.9609288295997</v>
      </c>
      <c r="I4404" s="497">
        <v>4259.9668172206502</v>
      </c>
      <c r="J4404" s="497">
        <v>0</v>
      </c>
      <c r="K4404" s="497">
        <v>16704.614285519001</v>
      </c>
      <c r="L4404" s="407" t="s">
        <v>28</v>
      </c>
      <c r="M4404" s="98"/>
      <c r="N4404" s="50"/>
      <c r="O4404" s="5"/>
      <c r="P4404" s="9"/>
      <c r="Q4404" s="34"/>
      <c r="R4404" s="5"/>
      <c r="S4404" s="35"/>
    </row>
    <row r="4405" spans="1:25" ht="30" customHeight="1" x14ac:dyDescent="0.35">
      <c r="A4405" s="757" t="s">
        <v>1898</v>
      </c>
      <c r="B4405" s="1265" t="s">
        <v>1899</v>
      </c>
      <c r="C4405" s="1265"/>
      <c r="D4405" s="1265"/>
      <c r="E4405" s="502">
        <v>2009.22</v>
      </c>
      <c r="F4405" s="407" t="s">
        <v>16</v>
      </c>
      <c r="G4405" s="497">
        <v>84173.875148129693</v>
      </c>
      <c r="H4405" s="497">
        <v>18736.8461372944</v>
      </c>
      <c r="I4405" s="497">
        <v>14589.5634008456</v>
      </c>
      <c r="J4405" s="497">
        <v>0</v>
      </c>
      <c r="K4405" s="497">
        <v>117500.28468627</v>
      </c>
      <c r="L4405" s="407" t="s">
        <v>16</v>
      </c>
      <c r="M4405" s="98"/>
      <c r="N4405" s="97"/>
      <c r="O4405" s="491"/>
      <c r="T4405" s="10"/>
      <c r="U4405" s="10"/>
    </row>
    <row r="4406" spans="1:25" ht="30" customHeight="1" x14ac:dyDescent="0.35">
      <c r="A4406" s="757" t="s">
        <v>1900</v>
      </c>
      <c r="B4406" s="1586" t="s">
        <v>1901</v>
      </c>
      <c r="C4406" s="1587"/>
      <c r="D4406" s="1588"/>
      <c r="E4406" s="502">
        <v>1.62</v>
      </c>
      <c r="F4406" s="407" t="s">
        <v>1883</v>
      </c>
      <c r="G4406" s="497">
        <v>2851.3972473246199</v>
      </c>
      <c r="H4406" s="497">
        <v>2189.1151106301099</v>
      </c>
      <c r="I4406" s="497">
        <v>2688.6616978820698</v>
      </c>
      <c r="J4406" s="497">
        <v>0</v>
      </c>
      <c r="K4406" s="497">
        <v>7729.1740558368001</v>
      </c>
      <c r="L4406" s="407" t="s">
        <v>1883</v>
      </c>
      <c r="M4406" s="98"/>
      <c r="N4406" s="50"/>
      <c r="O4406" s="5"/>
      <c r="P4406" s="9"/>
      <c r="Q4406" s="34"/>
      <c r="R4406" s="5"/>
      <c r="S4406" s="35"/>
    </row>
    <row r="4407" spans="1:25" ht="30" customHeight="1" x14ac:dyDescent="0.35">
      <c r="A4407" s="757" t="s">
        <v>1902</v>
      </c>
      <c r="B4407" s="1265" t="s">
        <v>1903</v>
      </c>
      <c r="C4407" s="1265"/>
      <c r="D4407" s="1265"/>
      <c r="E4407" s="757">
        <v>1.62</v>
      </c>
      <c r="F4407" s="407" t="s">
        <v>1883</v>
      </c>
      <c r="G4407" s="497">
        <v>14.139159904089</v>
      </c>
      <c r="H4407" s="497">
        <v>561.34820938132202</v>
      </c>
      <c r="I4407" s="497">
        <v>0</v>
      </c>
      <c r="J4407" s="497">
        <v>0</v>
      </c>
      <c r="K4407" s="497">
        <v>575.48736928541098</v>
      </c>
      <c r="L4407" s="407" t="s">
        <v>1883</v>
      </c>
      <c r="M4407" s="98"/>
      <c r="N4407" s="50"/>
      <c r="O4407" s="5"/>
      <c r="P4407" s="9"/>
      <c r="Q4407" s="34"/>
      <c r="R4407" s="5"/>
      <c r="S4407" s="35"/>
    </row>
    <row r="4408" spans="1:25" ht="30" customHeight="1" x14ac:dyDescent="0.35">
      <c r="A4408" s="1320" t="s">
        <v>2815</v>
      </c>
      <c r="B4408" s="1321"/>
      <c r="C4408" s="1321"/>
      <c r="D4408" s="1322"/>
      <c r="E4408" s="503"/>
      <c r="F4408" s="503"/>
      <c r="G4408" s="503"/>
      <c r="H4408" s="503"/>
      <c r="I4408" s="503"/>
      <c r="J4408" s="672"/>
      <c r="K4408" s="189">
        <f>SUM(K4396:K4407)</f>
        <v>2411238.0851498242</v>
      </c>
      <c r="L4408" s="407" t="s">
        <v>2428</v>
      </c>
      <c r="M4408" s="98"/>
      <c r="P4408" s="9"/>
      <c r="Q4408" s="34"/>
      <c r="R4408" s="5"/>
      <c r="S4408" s="35"/>
    </row>
    <row r="4409" spans="1:25" ht="30" customHeight="1" thickBot="1" x14ac:dyDescent="0.4">
      <c r="A4409" s="1323"/>
      <c r="B4409" s="1324"/>
      <c r="C4409" s="1324"/>
      <c r="D4409" s="1325"/>
      <c r="E4409" s="1437" t="s">
        <v>2856</v>
      </c>
      <c r="F4409" s="1438"/>
      <c r="G4409" s="1439"/>
      <c r="H4409" s="503"/>
      <c r="I4409" s="503"/>
      <c r="J4409" s="571" t="s">
        <v>37</v>
      </c>
      <c r="K4409" s="187">
        <f>+K4408/H4394</f>
        <v>2411238.0851498242</v>
      </c>
      <c r="L4409" s="407" t="s">
        <v>40</v>
      </c>
      <c r="N4409" s="50"/>
      <c r="O4409" s="5"/>
      <c r="P4409" s="9"/>
      <c r="Q4409" s="34"/>
      <c r="R4409" s="5"/>
      <c r="S4409" s="35"/>
    </row>
    <row r="4410" spans="1:25" ht="30" customHeight="1" thickBot="1" x14ac:dyDescent="0.4">
      <c r="A4410" s="1183"/>
      <c r="B4410" s="1183"/>
      <c r="C4410" s="1183"/>
      <c r="D4410" s="1183"/>
      <c r="E4410" s="488"/>
      <c r="F4410" s="441"/>
      <c r="G4410" s="1191" t="s">
        <v>3000</v>
      </c>
      <c r="H4410" s="1192"/>
      <c r="I4410" s="1193"/>
      <c r="J4410" s="570">
        <v>1.0438745311870332</v>
      </c>
      <c r="K4410" s="1184">
        <f>+K4409*J4410</f>
        <v>2517030.0257160924</v>
      </c>
      <c r="L4410" s="486" t="s">
        <v>40</v>
      </c>
      <c r="M4410" s="50"/>
      <c r="N4410" s="50"/>
      <c r="O4410" s="5"/>
      <c r="P4410" s="9"/>
      <c r="Q4410" s="34"/>
      <c r="R4410" s="5"/>
      <c r="S4410" s="35"/>
    </row>
    <row r="4411" spans="1:25" ht="30" customHeight="1" thickBot="1" x14ac:dyDescent="0.4">
      <c r="A4411" s="432"/>
      <c r="B4411" s="433"/>
      <c r="C4411" s="433"/>
      <c r="D4411" s="433"/>
      <c r="E4411" s="433"/>
      <c r="F4411" s="433"/>
      <c r="G4411" s="433"/>
      <c r="H4411" s="433"/>
      <c r="I4411" s="433"/>
      <c r="J4411" s="433"/>
      <c r="K4411" s="433"/>
      <c r="L4411" s="434"/>
      <c r="O4411" s="5"/>
      <c r="P4411" s="9"/>
      <c r="Q4411" s="34"/>
      <c r="R4411" s="5"/>
      <c r="S4411" s="35"/>
    </row>
    <row r="4412" spans="1:25" ht="30" customHeight="1" x14ac:dyDescent="0.35">
      <c r="A4412" s="388" t="s">
        <v>1</v>
      </c>
      <c r="B4412" s="389">
        <v>8714</v>
      </c>
      <c r="C4412" s="1205" t="s">
        <v>1904</v>
      </c>
      <c r="D4412" s="1206"/>
      <c r="E4412" s="392" t="s">
        <v>3</v>
      </c>
      <c r="F4412" s="393" t="s">
        <v>28</v>
      </c>
      <c r="G4412" s="390" t="s">
        <v>38</v>
      </c>
      <c r="H4412" s="146">
        <v>3115.5788450704199</v>
      </c>
      <c r="I4412" s="392" t="s">
        <v>5</v>
      </c>
      <c r="J4412" s="1207" t="s">
        <v>2481</v>
      </c>
      <c r="K4412" s="1207"/>
      <c r="L4412" s="1208"/>
      <c r="N4412" s="50"/>
      <c r="O4412" s="5"/>
      <c r="P4412" s="9"/>
      <c r="Q4412" s="34"/>
      <c r="R4412" s="5"/>
      <c r="S4412" s="35"/>
    </row>
    <row r="4413" spans="1:25" ht="30" customHeight="1" x14ac:dyDescent="0.35">
      <c r="A4413" s="494" t="s">
        <v>187</v>
      </c>
      <c r="B4413" s="1280" t="s">
        <v>211</v>
      </c>
      <c r="C4413" s="1281"/>
      <c r="D4413" s="1282"/>
      <c r="E4413" s="566" t="s">
        <v>52</v>
      </c>
      <c r="F4413" s="566" t="s">
        <v>53</v>
      </c>
      <c r="G4413" s="1219" t="s">
        <v>54</v>
      </c>
      <c r="H4413" s="1220"/>
      <c r="I4413" s="185" t="s">
        <v>188</v>
      </c>
      <c r="J4413" s="185"/>
      <c r="K4413" s="1209" t="s">
        <v>180</v>
      </c>
      <c r="L4413" s="1210"/>
      <c r="O4413" s="5"/>
      <c r="P4413" s="9"/>
      <c r="Q4413" s="34"/>
      <c r="R4413" s="5"/>
      <c r="S4413" s="35"/>
    </row>
    <row r="4414" spans="1:25" ht="30" customHeight="1" x14ac:dyDescent="0.35">
      <c r="A4414" s="186" t="s">
        <v>347</v>
      </c>
      <c r="B4414" s="1212" t="s">
        <v>1905</v>
      </c>
      <c r="C4414" s="1213"/>
      <c r="D4414" s="1214"/>
      <c r="E4414" s="7">
        <f>+(5.52+7.75)/2</f>
        <v>6.6349999999999998</v>
      </c>
      <c r="F4414" s="422" t="s">
        <v>16</v>
      </c>
      <c r="G4414" s="707">
        <v>7.33</v>
      </c>
      <c r="H4414" s="708" t="s">
        <v>1906</v>
      </c>
      <c r="I4414" s="186">
        <v>1.28</v>
      </c>
      <c r="J4414" s="422"/>
      <c r="K4414" s="193">
        <f t="shared" ref="K4414:K4419" si="65">+E4414*G4414*I4414</f>
        <v>62.252223999999998</v>
      </c>
      <c r="L4414" s="422" t="s">
        <v>28</v>
      </c>
      <c r="O4414" s="5"/>
      <c r="P4414" s="9"/>
      <c r="Q4414" s="34"/>
      <c r="R4414" s="5"/>
      <c r="S4414" s="35"/>
    </row>
    <row r="4415" spans="1:25" ht="30" customHeight="1" x14ac:dyDescent="0.35">
      <c r="A4415" s="186" t="s">
        <v>347</v>
      </c>
      <c r="B4415" s="1212" t="s">
        <v>2685</v>
      </c>
      <c r="C4415" s="1213"/>
      <c r="D4415" s="1214"/>
      <c r="E4415" s="7">
        <v>19.5</v>
      </c>
      <c r="F4415" s="422" t="s">
        <v>16</v>
      </c>
      <c r="G4415" s="362">
        <v>7.33</v>
      </c>
      <c r="H4415" s="708" t="s">
        <v>1906</v>
      </c>
      <c r="I4415" s="186">
        <v>1.28</v>
      </c>
      <c r="J4415" s="422"/>
      <c r="K4415" s="193">
        <f t="shared" si="65"/>
        <v>182.95680000000002</v>
      </c>
      <c r="L4415" s="422" t="s">
        <v>28</v>
      </c>
      <c r="N4415" s="10"/>
      <c r="O4415" s="5"/>
      <c r="P4415" s="9"/>
      <c r="Q4415" s="34"/>
      <c r="R4415" s="5"/>
      <c r="S4415" s="35"/>
    </row>
    <row r="4416" spans="1:25" ht="30" customHeight="1" x14ac:dyDescent="0.35">
      <c r="A4416" s="186" t="s">
        <v>347</v>
      </c>
      <c r="B4416" s="1202" t="s">
        <v>1907</v>
      </c>
      <c r="C4416" s="1203"/>
      <c r="D4416" s="1204"/>
      <c r="E4416" s="194">
        <f>+(11.25+19.25)/2</f>
        <v>15.25</v>
      </c>
      <c r="F4416" s="422" t="s">
        <v>4</v>
      </c>
      <c r="G4416" s="127">
        <v>1.67</v>
      </c>
      <c r="H4416" s="136" t="s">
        <v>415</v>
      </c>
      <c r="I4416" s="186">
        <v>1.28</v>
      </c>
      <c r="J4416" s="422"/>
      <c r="K4416" s="193">
        <f t="shared" si="65"/>
        <v>32.598399999999998</v>
      </c>
      <c r="L4416" s="186" t="s">
        <v>28</v>
      </c>
      <c r="O4416" s="5"/>
      <c r="P4416" s="9"/>
      <c r="Q4416" s="34"/>
      <c r="R4416" s="5"/>
      <c r="S4416" s="35"/>
      <c r="Y4416" s="14"/>
    </row>
    <row r="4417" spans="1:26" ht="30" customHeight="1" x14ac:dyDescent="0.35">
      <c r="A4417" s="186" t="s">
        <v>347</v>
      </c>
      <c r="B4417" s="1202" t="s">
        <v>1908</v>
      </c>
      <c r="C4417" s="1203"/>
      <c r="D4417" s="1204"/>
      <c r="E4417" s="194">
        <f>+(89.5+126)/2</f>
        <v>107.75</v>
      </c>
      <c r="F4417" s="422" t="s">
        <v>4</v>
      </c>
      <c r="G4417" s="127">
        <v>1.67</v>
      </c>
      <c r="H4417" s="136" t="s">
        <v>415</v>
      </c>
      <c r="I4417" s="186">
        <v>1.28</v>
      </c>
      <c r="J4417" s="422"/>
      <c r="K4417" s="193">
        <f t="shared" si="65"/>
        <v>230.32640000000001</v>
      </c>
      <c r="L4417" s="422" t="s">
        <v>28</v>
      </c>
      <c r="O4417" s="5"/>
      <c r="P4417" s="9"/>
      <c r="Q4417" s="34"/>
      <c r="R4417" s="5"/>
      <c r="S4417" s="35"/>
      <c r="Y4417" s="14"/>
      <c r="Z4417" s="14"/>
    </row>
    <row r="4418" spans="1:26" ht="30" customHeight="1" x14ac:dyDescent="0.35">
      <c r="A4418" s="186" t="s">
        <v>347</v>
      </c>
      <c r="B4418" s="1202" t="s">
        <v>1909</v>
      </c>
      <c r="C4418" s="1203"/>
      <c r="D4418" s="1204"/>
      <c r="E4418" s="194">
        <f>+(92+279)/2</f>
        <v>185.5</v>
      </c>
      <c r="F4418" s="422" t="s">
        <v>4</v>
      </c>
      <c r="G4418" s="127">
        <v>1.67</v>
      </c>
      <c r="H4418" s="136" t="s">
        <v>415</v>
      </c>
      <c r="I4418" s="186">
        <v>1.28</v>
      </c>
      <c r="J4418" s="422"/>
      <c r="K4418" s="193">
        <f t="shared" si="65"/>
        <v>396.52479999999997</v>
      </c>
      <c r="L4418" s="422" t="s">
        <v>28</v>
      </c>
      <c r="O4418" s="5"/>
      <c r="P4418" s="9"/>
      <c r="Q4418" s="34"/>
      <c r="R4418" s="5"/>
      <c r="S4418" s="35"/>
      <c r="Y4418" s="14"/>
      <c r="Z4418" s="14"/>
    </row>
    <row r="4419" spans="1:26" ht="30" customHeight="1" x14ac:dyDescent="0.35">
      <c r="A4419" s="186" t="s">
        <v>501</v>
      </c>
      <c r="B4419" s="1202" t="s">
        <v>1910</v>
      </c>
      <c r="C4419" s="1203"/>
      <c r="D4419" s="1204"/>
      <c r="E4419" s="194">
        <v>0.21</v>
      </c>
      <c r="F4419" s="422" t="s">
        <v>108</v>
      </c>
      <c r="G4419" s="127">
        <v>25</v>
      </c>
      <c r="H4419" s="136" t="s">
        <v>1875</v>
      </c>
      <c r="I4419" s="186">
        <v>1.1100000000000001</v>
      </c>
      <c r="J4419" s="422"/>
      <c r="K4419" s="193">
        <f t="shared" si="65"/>
        <v>5.8275000000000006</v>
      </c>
      <c r="L4419" s="422" t="s">
        <v>28</v>
      </c>
      <c r="M4419" s="50"/>
      <c r="O4419" s="5"/>
      <c r="P4419" s="9"/>
      <c r="Q4419" s="34"/>
      <c r="R4419" s="5"/>
      <c r="S4419" s="35"/>
      <c r="Z4419" s="14"/>
    </row>
    <row r="4420" spans="1:26" s="14" customFormat="1" ht="30" customHeight="1" x14ac:dyDescent="0.35">
      <c r="A4420" s="790"/>
      <c r="B4420" s="1212" t="s">
        <v>2686</v>
      </c>
      <c r="C4420" s="1213"/>
      <c r="D4420" s="1214"/>
      <c r="E4420" s="194"/>
      <c r="F4420" s="186"/>
      <c r="G4420" s="186"/>
      <c r="H4420" s="186"/>
      <c r="I4420" s="186"/>
      <c r="J4420" s="186" t="s">
        <v>223</v>
      </c>
      <c r="K4420" s="194">
        <f>SUM(K4414:K4419)</f>
        <v>910.4861239999999</v>
      </c>
      <c r="L4420" s="422" t="s">
        <v>28</v>
      </c>
      <c r="M4420" s="11"/>
      <c r="N4420" s="11"/>
      <c r="O4420" s="5"/>
      <c r="P4420" s="9"/>
      <c r="Q4420" s="34"/>
      <c r="R4420" s="5"/>
      <c r="S4420" s="35"/>
      <c r="T4420" s="9"/>
      <c r="U4420" s="9"/>
      <c r="V4420" s="9"/>
      <c r="W4420" s="9"/>
      <c r="X4420" s="9"/>
      <c r="Y4420" s="9"/>
      <c r="Z4420" s="9"/>
    </row>
    <row r="4421" spans="1:26" s="14" customFormat="1" ht="30" customHeight="1" x14ac:dyDescent="0.35">
      <c r="A4421" s="186"/>
      <c r="B4421" s="567" t="s">
        <v>1911</v>
      </c>
      <c r="C4421" s="567"/>
      <c r="D4421" s="567"/>
      <c r="E4421" s="194"/>
      <c r="F4421" s="1215" t="s">
        <v>195</v>
      </c>
      <c r="G4421" s="1273" t="s">
        <v>196</v>
      </c>
      <c r="H4421" s="1273"/>
      <c r="I4421" s="1273"/>
      <c r="J4421" s="1273"/>
      <c r="K4421" s="196">
        <v>1.06</v>
      </c>
      <c r="L4421" s="186"/>
      <c r="M4421" s="11"/>
      <c r="N4421" s="11"/>
      <c r="O4421" s="5"/>
      <c r="P4421" s="9"/>
      <c r="Q4421" s="34"/>
      <c r="R4421" s="5"/>
      <c r="S4421" s="35"/>
      <c r="T4421" s="9"/>
      <c r="U4421" s="9"/>
      <c r="V4421" s="9"/>
      <c r="W4421" s="9"/>
      <c r="X4421" s="9"/>
      <c r="Y4421" s="9"/>
      <c r="Z4421" s="9"/>
    </row>
    <row r="4422" spans="1:26" s="14" customFormat="1" ht="30" customHeight="1" x14ac:dyDescent="0.35">
      <c r="A4422" s="186"/>
      <c r="B4422" s="567"/>
      <c r="C4422" s="567"/>
      <c r="D4422" s="567"/>
      <c r="E4422" s="194"/>
      <c r="F4422" s="1216"/>
      <c r="G4422" s="1268" t="s">
        <v>2477</v>
      </c>
      <c r="H4422" s="1268"/>
      <c r="I4422" s="1268"/>
      <c r="J4422" s="1268"/>
      <c r="K4422" s="196">
        <v>1.05</v>
      </c>
      <c r="L4422" s="186"/>
      <c r="M4422" s="11"/>
      <c r="N4422" s="11"/>
      <c r="O4422" s="5"/>
      <c r="P4422" s="9"/>
      <c r="Q4422" s="34"/>
      <c r="R4422" s="5"/>
      <c r="S4422" s="35"/>
      <c r="T4422" s="9"/>
      <c r="U4422" s="9"/>
      <c r="V4422" s="9"/>
      <c r="W4422" s="9"/>
      <c r="X4422" s="9"/>
      <c r="Y4422" s="9"/>
      <c r="Z4422" s="9"/>
    </row>
    <row r="4423" spans="1:26" ht="30" customHeight="1" x14ac:dyDescent="0.35">
      <c r="A4423" s="186"/>
      <c r="B4423" s="186"/>
      <c r="C4423" s="503"/>
      <c r="D4423" s="503"/>
      <c r="E4423" s="503"/>
      <c r="F4423" s="503"/>
      <c r="G4423" s="186"/>
      <c r="H4423" s="503"/>
      <c r="I4423" s="503"/>
      <c r="J4423" s="186" t="s">
        <v>37</v>
      </c>
      <c r="K4423" s="193">
        <f>+K4420*K4421/K4422</f>
        <v>919.15742041904753</v>
      </c>
      <c r="L4423" s="186" t="s">
        <v>28</v>
      </c>
      <c r="O4423" s="5"/>
      <c r="P4423" s="9"/>
      <c r="Q4423" s="34"/>
      <c r="R4423" s="5"/>
      <c r="S4423" s="35"/>
    </row>
    <row r="4424" spans="1:26" ht="30" customHeight="1" x14ac:dyDescent="0.35">
      <c r="A4424" s="186"/>
      <c r="B4424" s="186"/>
      <c r="C4424" s="503"/>
      <c r="D4424" s="503"/>
      <c r="E4424" s="503"/>
      <c r="F4424" s="503"/>
      <c r="G4424" s="1198" t="s">
        <v>257</v>
      </c>
      <c r="H4424" s="1198"/>
      <c r="I4424" s="1198"/>
      <c r="J4424" s="560">
        <f>VLOOKUP(B4412,'Mil Cost Premiums for PUCs'!$A$4:$R$285,18,FALSE)</f>
        <v>1.0209999999999999</v>
      </c>
      <c r="K4424" s="193">
        <f>+K4423*J4424</f>
        <v>938.45972624784747</v>
      </c>
      <c r="L4424" s="186" t="s">
        <v>28</v>
      </c>
      <c r="O4424" s="5"/>
      <c r="P4424" s="9"/>
      <c r="Q4424" s="34"/>
      <c r="R4424" s="5"/>
      <c r="S4424" s="35"/>
    </row>
    <row r="4425" spans="1:26" ht="30" customHeight="1" thickBot="1" x14ac:dyDescent="0.4">
      <c r="A4425" s="186"/>
      <c r="B4425" s="186"/>
      <c r="C4425" s="503"/>
      <c r="D4425" s="503"/>
      <c r="E4425" s="503"/>
      <c r="F4425" s="503"/>
      <c r="G4425" s="1309" t="s">
        <v>3000</v>
      </c>
      <c r="H4425" s="1310"/>
      <c r="I4425" s="1311"/>
      <c r="J4425" s="560">
        <v>1.0438745311870361</v>
      </c>
      <c r="K4425" s="193">
        <f>+K4424*J4425</f>
        <v>979.63420677488602</v>
      </c>
      <c r="L4425" s="186" t="s">
        <v>28</v>
      </c>
      <c r="O4425" s="5"/>
      <c r="P4425" s="9"/>
      <c r="Q4425" s="34"/>
      <c r="R4425" s="5"/>
      <c r="S4425" s="35"/>
    </row>
    <row r="4426" spans="1:26" ht="30" customHeight="1" thickBot="1" x14ac:dyDescent="0.4">
      <c r="A4426" s="1199"/>
      <c r="B4426" s="1200"/>
      <c r="C4426" s="1200"/>
      <c r="D4426" s="1200"/>
      <c r="E4426" s="1200"/>
      <c r="F4426" s="1200"/>
      <c r="G4426" s="1200"/>
      <c r="H4426" s="1200"/>
      <c r="I4426" s="1200"/>
      <c r="J4426" s="1200"/>
      <c r="K4426" s="1200"/>
      <c r="L4426" s="1201"/>
      <c r="O4426" s="5"/>
      <c r="P4426" s="9"/>
      <c r="Q4426" s="34"/>
      <c r="R4426" s="5"/>
      <c r="S4426" s="35"/>
    </row>
    <row r="4427" spans="1:26" ht="30" customHeight="1" x14ac:dyDescent="0.35">
      <c r="A4427" s="388" t="s">
        <v>1</v>
      </c>
      <c r="B4427" s="389">
        <v>8715</v>
      </c>
      <c r="C4427" s="1205" t="s">
        <v>1912</v>
      </c>
      <c r="D4427" s="1206"/>
      <c r="E4427" s="392" t="s">
        <v>3</v>
      </c>
      <c r="F4427" s="393" t="s">
        <v>113</v>
      </c>
      <c r="G4427" s="390" t="s">
        <v>38</v>
      </c>
      <c r="H4427" s="363">
        <f>3.4*1000000</f>
        <v>3400000</v>
      </c>
      <c r="I4427" s="392" t="s">
        <v>5</v>
      </c>
      <c r="J4427" s="1207" t="s">
        <v>2538</v>
      </c>
      <c r="K4427" s="1207"/>
      <c r="L4427" s="1208"/>
      <c r="M4427" s="10"/>
      <c r="O4427" s="5"/>
      <c r="P4427" s="9"/>
      <c r="Q4427" s="34"/>
      <c r="R4427" s="5"/>
      <c r="S4427" s="35"/>
    </row>
    <row r="4428" spans="1:26" ht="30" customHeight="1" x14ac:dyDescent="0.35">
      <c r="A4428" s="185" t="s">
        <v>177</v>
      </c>
      <c r="B4428" s="1280" t="s">
        <v>211</v>
      </c>
      <c r="C4428" s="1281"/>
      <c r="D4428" s="1282"/>
      <c r="E4428" s="566" t="s">
        <v>52</v>
      </c>
      <c r="F4428" s="566" t="s">
        <v>53</v>
      </c>
      <c r="G4428" s="1219" t="s">
        <v>54</v>
      </c>
      <c r="H4428" s="1220"/>
      <c r="I4428" s="1221" t="s">
        <v>179</v>
      </c>
      <c r="J4428" s="1222"/>
      <c r="K4428" s="1209" t="s">
        <v>180</v>
      </c>
      <c r="L4428" s="1210"/>
      <c r="O4428" s="5"/>
      <c r="P4428" s="9"/>
      <c r="Q4428" s="34"/>
      <c r="R4428" s="5"/>
      <c r="S4428" s="35"/>
    </row>
    <row r="4429" spans="1:26" ht="30" customHeight="1" x14ac:dyDescent="0.35">
      <c r="A4429" s="1016">
        <v>83210</v>
      </c>
      <c r="B4429" s="1212" t="s">
        <v>1913</v>
      </c>
      <c r="C4429" s="1213"/>
      <c r="D4429" s="1214"/>
      <c r="E4429" s="7">
        <v>62916.09</v>
      </c>
      <c r="F4429" s="422" t="s">
        <v>40</v>
      </c>
      <c r="G4429" s="18">
        <f>+(1/8)*5*$B$4434</f>
        <v>203657.14374999999</v>
      </c>
      <c r="H4429" s="708" t="s">
        <v>1118</v>
      </c>
      <c r="I4429" s="1307">
        <f>+'FY2024 MILCON Inflation Table'!F22</f>
        <v>0.95834826759383673</v>
      </c>
      <c r="J4429" s="1308"/>
      <c r="K4429" s="734">
        <f>+E4429/G4429*I4429</f>
        <v>0.29606388828321134</v>
      </c>
      <c r="L4429" s="422" t="s">
        <v>113</v>
      </c>
      <c r="N4429" s="50"/>
      <c r="O4429" s="5"/>
      <c r="P4429" s="9"/>
      <c r="Q4429" s="34"/>
      <c r="R4429" s="5"/>
      <c r="S4429" s="35"/>
    </row>
    <row r="4430" spans="1:26" ht="30" customHeight="1" x14ac:dyDescent="0.35">
      <c r="A4430" s="1016">
        <v>83210</v>
      </c>
      <c r="B4430" s="1212" t="s">
        <v>1914</v>
      </c>
      <c r="C4430" s="1213"/>
      <c r="D4430" s="1214"/>
      <c r="E4430" s="7">
        <v>125090.73</v>
      </c>
      <c r="F4430" s="422" t="s">
        <v>40</v>
      </c>
      <c r="G4430" s="18">
        <f>(1/4)*5*$B$4434</f>
        <v>407314.28749999998</v>
      </c>
      <c r="H4430" s="708" t="s">
        <v>1118</v>
      </c>
      <c r="I4430" s="1307">
        <f>+I4429</f>
        <v>0.95834826759383673</v>
      </c>
      <c r="J4430" s="1308"/>
      <c r="K4430" s="734">
        <f>+E4430/G4430*I4430</f>
        <v>0.29431936975092821</v>
      </c>
      <c r="L4430" s="422" t="s">
        <v>113</v>
      </c>
      <c r="O4430" s="5"/>
      <c r="P4430" s="9"/>
      <c r="Q4430" s="34"/>
      <c r="R4430" s="5"/>
      <c r="S4430" s="35"/>
    </row>
    <row r="4431" spans="1:26" ht="30" customHeight="1" x14ac:dyDescent="0.35">
      <c r="A4431" s="1016">
        <v>83210</v>
      </c>
      <c r="B4431" s="1212" t="s">
        <v>1915</v>
      </c>
      <c r="C4431" s="1213"/>
      <c r="D4431" s="1214"/>
      <c r="E4431" s="7">
        <v>188009.69</v>
      </c>
      <c r="F4431" s="422" t="s">
        <v>40</v>
      </c>
      <c r="G4431" s="18">
        <f>(3/8)*5*$B$4434</f>
        <v>610971.43125000002</v>
      </c>
      <c r="H4431" s="708" t="s">
        <v>1118</v>
      </c>
      <c r="I4431" s="1307">
        <f>+I4429</f>
        <v>0.95834826759383673</v>
      </c>
      <c r="J4431" s="1308"/>
      <c r="K4431" s="734">
        <f>+E4431/G4431*I4431</f>
        <v>0.29490537770926961</v>
      </c>
      <c r="L4431" s="422" t="s">
        <v>113</v>
      </c>
      <c r="O4431" s="5"/>
      <c r="P4431" s="9"/>
      <c r="Q4431" s="34"/>
      <c r="R4431" s="5"/>
      <c r="S4431" s="35"/>
    </row>
    <row r="4432" spans="1:26" ht="30" customHeight="1" x14ac:dyDescent="0.35">
      <c r="A4432" s="1016">
        <v>83210</v>
      </c>
      <c r="B4432" s="1212" t="s">
        <v>1916</v>
      </c>
      <c r="C4432" s="1213"/>
      <c r="D4432" s="1214"/>
      <c r="E4432" s="7">
        <v>250938.41</v>
      </c>
      <c r="F4432" s="422" t="s">
        <v>40</v>
      </c>
      <c r="G4432" s="18">
        <f>(1/2)*5*$B$4434</f>
        <v>814628.57499999995</v>
      </c>
      <c r="H4432" s="708" t="s">
        <v>1118</v>
      </c>
      <c r="I4432" s="1307">
        <f>+I4429</f>
        <v>0.95834826759383673</v>
      </c>
      <c r="J4432" s="1308"/>
      <c r="K4432" s="734">
        <f>+E4432/G4432*I4432</f>
        <v>0.2952098635826173</v>
      </c>
      <c r="L4432" s="422" t="s">
        <v>113</v>
      </c>
      <c r="O4432" s="5"/>
      <c r="P4432" s="9"/>
      <c r="Q4432" s="34"/>
      <c r="R4432" s="5"/>
      <c r="S4432" s="35"/>
    </row>
    <row r="4433" spans="1:19" ht="30" customHeight="1" x14ac:dyDescent="0.35">
      <c r="A4433" s="503"/>
      <c r="B4433" s="1264"/>
      <c r="C4433" s="1264"/>
      <c r="D4433" s="1264"/>
      <c r="E4433" s="194"/>
      <c r="F4433" s="186"/>
      <c r="G4433" s="186"/>
      <c r="H4433" s="186"/>
      <c r="I4433" s="186"/>
      <c r="J4433" s="186" t="s">
        <v>192</v>
      </c>
      <c r="K4433" s="201">
        <f>AVERAGE(K4429:K4432)</f>
        <v>0.29512462483150659</v>
      </c>
      <c r="L4433" s="422" t="s">
        <v>113</v>
      </c>
      <c r="O4433" s="5"/>
      <c r="P4433" s="9"/>
      <c r="Q4433" s="34"/>
      <c r="R4433" s="5"/>
      <c r="S4433" s="35"/>
    </row>
    <row r="4434" spans="1:19" ht="30" customHeight="1" thickBot="1" x14ac:dyDescent="0.4">
      <c r="A4434" s="503"/>
      <c r="B4434" s="1402">
        <v>325851.43</v>
      </c>
      <c r="C4434" s="1403"/>
      <c r="D4434" s="503" t="s">
        <v>2628</v>
      </c>
      <c r="E4434" s="503"/>
      <c r="F4434" s="503"/>
      <c r="G4434" s="503"/>
      <c r="H4434" s="503" t="s">
        <v>1917</v>
      </c>
      <c r="I4434" s="503"/>
      <c r="J4434" s="494" t="s">
        <v>37</v>
      </c>
      <c r="K4434" s="209">
        <f>+K4433</f>
        <v>0.29512462483150659</v>
      </c>
      <c r="L4434" s="422" t="s">
        <v>113</v>
      </c>
      <c r="O4434" s="5"/>
      <c r="P4434" s="9"/>
      <c r="Q4434" s="34"/>
      <c r="R4434" s="5"/>
      <c r="S4434" s="35"/>
    </row>
    <row r="4435" spans="1:19" ht="30" customHeight="1" thickBot="1" x14ac:dyDescent="0.4">
      <c r="A4435" s="1199"/>
      <c r="B4435" s="1200"/>
      <c r="C4435" s="1200"/>
      <c r="D4435" s="1200"/>
      <c r="E4435" s="1200"/>
      <c r="F4435" s="1200"/>
      <c r="G4435" s="1200"/>
      <c r="H4435" s="1200"/>
      <c r="I4435" s="1200"/>
      <c r="J4435" s="1200"/>
      <c r="K4435" s="1200"/>
      <c r="L4435" s="1201"/>
      <c r="P4435" s="34"/>
      <c r="Q4435" s="5"/>
      <c r="R4435" s="35"/>
    </row>
    <row r="4436" spans="1:19" ht="30" customHeight="1" x14ac:dyDescent="0.35">
      <c r="A4436" s="388" t="s">
        <v>1</v>
      </c>
      <c r="B4436" s="389">
        <v>8716</v>
      </c>
      <c r="C4436" s="1205" t="s">
        <v>1918</v>
      </c>
      <c r="D4436" s="1206"/>
      <c r="E4436" s="392" t="s">
        <v>3</v>
      </c>
      <c r="F4436" s="393" t="s">
        <v>4</v>
      </c>
      <c r="G4436" s="390" t="s">
        <v>2</v>
      </c>
      <c r="H4436" s="157">
        <v>894.63176470588201</v>
      </c>
      <c r="I4436" s="392" t="s">
        <v>5</v>
      </c>
      <c r="J4436" s="1207" t="s">
        <v>2538</v>
      </c>
      <c r="K4436" s="1207"/>
      <c r="L4436" s="1208"/>
      <c r="M4436" s="99"/>
      <c r="P4436" s="34"/>
      <c r="Q4436" s="5"/>
      <c r="R4436" s="35"/>
    </row>
    <row r="4437" spans="1:19" ht="30" customHeight="1" x14ac:dyDescent="0.35">
      <c r="A4437" s="185" t="s">
        <v>177</v>
      </c>
      <c r="B4437" s="1280" t="s">
        <v>211</v>
      </c>
      <c r="C4437" s="1281"/>
      <c r="D4437" s="1282"/>
      <c r="E4437" s="566" t="s">
        <v>52</v>
      </c>
      <c r="F4437" s="566" t="s">
        <v>53</v>
      </c>
      <c r="G4437" s="1219" t="s">
        <v>54</v>
      </c>
      <c r="H4437" s="1220"/>
      <c r="I4437" s="1221" t="s">
        <v>179</v>
      </c>
      <c r="J4437" s="1222"/>
      <c r="K4437" s="1209" t="s">
        <v>180</v>
      </c>
      <c r="L4437" s="1210"/>
      <c r="P4437" s="34"/>
      <c r="Q4437" s="5"/>
      <c r="R4437" s="35"/>
    </row>
    <row r="4438" spans="1:19" ht="30" customHeight="1" x14ac:dyDescent="0.35">
      <c r="A4438" s="1016">
        <v>93220</v>
      </c>
      <c r="B4438" s="1212" t="s">
        <v>2642</v>
      </c>
      <c r="C4438" s="1213"/>
      <c r="D4438" s="1214"/>
      <c r="E4438" s="7">
        <v>20.2</v>
      </c>
      <c r="F4438" s="422" t="s">
        <v>4</v>
      </c>
      <c r="G4438" s="18"/>
      <c r="H4438" s="708"/>
      <c r="I4438" s="1307">
        <f>+'FY2024 MILCON Inflation Table'!F22</f>
        <v>0.95834826759383673</v>
      </c>
      <c r="J4438" s="1308"/>
      <c r="K4438" s="734">
        <f>+E4438*I4438</f>
        <v>19.358635005395502</v>
      </c>
      <c r="L4438" s="422" t="s">
        <v>4</v>
      </c>
      <c r="N4438" s="50"/>
      <c r="P4438" s="34"/>
      <c r="Q4438" s="5"/>
      <c r="R4438" s="35"/>
    </row>
    <row r="4439" spans="1:19" ht="30" customHeight="1" x14ac:dyDescent="0.35">
      <c r="A4439" s="1016">
        <v>85110</v>
      </c>
      <c r="B4439" s="1212" t="s">
        <v>2639</v>
      </c>
      <c r="C4439" s="1213"/>
      <c r="D4439" s="1214"/>
      <c r="E4439" s="7">
        <v>30.21</v>
      </c>
      <c r="F4439" s="422" t="s">
        <v>4</v>
      </c>
      <c r="G4439" s="18"/>
      <c r="H4439" s="708"/>
      <c r="I4439" s="1307">
        <f>+'FY2024 MILCON Inflation Table'!F22</f>
        <v>0.95834826759383673</v>
      </c>
      <c r="J4439" s="1308"/>
      <c r="K4439" s="734">
        <f>+E4439*I4439</f>
        <v>28.951701164009808</v>
      </c>
      <c r="L4439" s="422" t="s">
        <v>4</v>
      </c>
      <c r="O4439" s="5"/>
      <c r="P4439" s="9"/>
      <c r="Q4439" s="34"/>
      <c r="R4439" s="5"/>
      <c r="S4439" s="35"/>
    </row>
    <row r="4440" spans="1:19" ht="30" customHeight="1" x14ac:dyDescent="0.35">
      <c r="A4440" s="188">
        <v>85110</v>
      </c>
      <c r="B4440" s="1212" t="s">
        <v>2640</v>
      </c>
      <c r="C4440" s="1213"/>
      <c r="D4440" s="1214"/>
      <c r="E4440" s="7">
        <v>63.42</v>
      </c>
      <c r="F4440" s="422" t="s">
        <v>4</v>
      </c>
      <c r="G4440" s="1219"/>
      <c r="H4440" s="1220"/>
      <c r="I4440" s="1307">
        <f>+I4438</f>
        <v>0.95834826759383673</v>
      </c>
      <c r="J4440" s="1308"/>
      <c r="K4440" s="734">
        <f>+E4440*I4440</f>
        <v>60.778447130801126</v>
      </c>
      <c r="L4440" s="422" t="s">
        <v>4</v>
      </c>
      <c r="P4440" s="34"/>
      <c r="Q4440" s="5"/>
      <c r="R4440" s="35"/>
    </row>
    <row r="4441" spans="1:19" ht="30" customHeight="1" x14ac:dyDescent="0.35">
      <c r="A4441" s="595">
        <v>84210</v>
      </c>
      <c r="B4441" s="1369" t="s">
        <v>2641</v>
      </c>
      <c r="C4441" s="1370"/>
      <c r="D4441" s="1371"/>
      <c r="E4441" s="7">
        <v>170.31</v>
      </c>
      <c r="F4441" s="422" t="s">
        <v>28</v>
      </c>
      <c r="G4441" s="1159">
        <f>20*4/H4436</f>
        <v>8.9422266407342132E-2</v>
      </c>
      <c r="H4441" s="708" t="s">
        <v>1836</v>
      </c>
      <c r="I4441" s="1400">
        <f>+I4438</f>
        <v>0.95834826759383673</v>
      </c>
      <c r="J4441" s="1401"/>
      <c r="K4441" s="734">
        <f>+E4441*G4441*I4441</f>
        <v>14.595170875254144</v>
      </c>
      <c r="L4441" s="422" t="s">
        <v>4</v>
      </c>
      <c r="O4441" s="5"/>
      <c r="P4441" s="9"/>
      <c r="Q4441" s="34"/>
      <c r="R4441" s="5"/>
      <c r="S4441" s="35"/>
    </row>
    <row r="4442" spans="1:19" ht="30" customHeight="1" x14ac:dyDescent="0.35">
      <c r="A4442" s="1016"/>
      <c r="B4442" s="1212"/>
      <c r="C4442" s="1213"/>
      <c r="D4442" s="1214"/>
      <c r="E4442" s="7"/>
      <c r="F4442" s="422"/>
      <c r="G4442" s="707"/>
      <c r="H4442" s="708"/>
      <c r="I4442" s="186"/>
      <c r="J4442" s="835" t="s">
        <v>223</v>
      </c>
      <c r="K4442" s="787">
        <f>SUM(K4438:K4441)</f>
        <v>123.68395417546058</v>
      </c>
      <c r="L4442" s="422" t="s">
        <v>4</v>
      </c>
      <c r="O4442" s="5"/>
      <c r="P4442" s="9"/>
      <c r="Q4442" s="34"/>
      <c r="R4442" s="5"/>
      <c r="S4442" s="35"/>
    </row>
    <row r="4443" spans="1:19" ht="30" customHeight="1" thickBot="1" x14ac:dyDescent="0.4">
      <c r="A4443" s="1016"/>
      <c r="B4443" s="1212"/>
      <c r="C4443" s="1213"/>
      <c r="D4443" s="1214"/>
      <c r="E4443" s="7"/>
      <c r="F4443" s="422"/>
      <c r="G4443" s="707"/>
      <c r="H4443" s="708"/>
      <c r="I4443" s="186"/>
      <c r="J4443" s="670" t="s">
        <v>37</v>
      </c>
      <c r="K4443" s="787">
        <f>+K4442</f>
        <v>123.68395417546058</v>
      </c>
      <c r="L4443" s="422" t="s">
        <v>4</v>
      </c>
      <c r="O4443" s="5"/>
      <c r="P4443" s="9"/>
      <c r="Q4443" s="34"/>
      <c r="R4443" s="5"/>
      <c r="S4443" s="35"/>
    </row>
    <row r="4444" spans="1:19" ht="30" customHeight="1" thickBot="1" x14ac:dyDescent="0.4">
      <c r="A4444" s="1199"/>
      <c r="B4444" s="1200"/>
      <c r="C4444" s="1200"/>
      <c r="D4444" s="1200"/>
      <c r="E4444" s="1200"/>
      <c r="F4444" s="1200"/>
      <c r="G4444" s="1200"/>
      <c r="H4444" s="1200"/>
      <c r="I4444" s="1200"/>
      <c r="J4444" s="1200"/>
      <c r="K4444" s="1200"/>
      <c r="L4444" s="1201"/>
      <c r="O4444" s="5"/>
      <c r="P4444" s="9"/>
      <c r="Q4444" s="34"/>
      <c r="R4444" s="5"/>
      <c r="S4444" s="35"/>
    </row>
    <row r="4445" spans="1:19" ht="30" customHeight="1" x14ac:dyDescent="0.35">
      <c r="A4445" s="388" t="s">
        <v>1</v>
      </c>
      <c r="B4445" s="389">
        <v>8717</v>
      </c>
      <c r="C4445" s="1205" t="s">
        <v>1919</v>
      </c>
      <c r="D4445" s="1206"/>
      <c r="E4445" s="392" t="s">
        <v>3</v>
      </c>
      <c r="F4445" s="393" t="s">
        <v>163</v>
      </c>
      <c r="G4445" s="390" t="s">
        <v>2</v>
      </c>
      <c r="H4445" s="157">
        <v>816.87</v>
      </c>
      <c r="I4445" s="392" t="s">
        <v>5</v>
      </c>
      <c r="J4445" s="1207" t="s">
        <v>2874</v>
      </c>
      <c r="K4445" s="1207"/>
      <c r="L4445" s="1208"/>
      <c r="O4445" s="5"/>
      <c r="P4445" s="9"/>
      <c r="Q4445" s="34"/>
      <c r="R4445" s="5"/>
      <c r="S4445" s="35"/>
    </row>
    <row r="4446" spans="1:19" ht="30" customHeight="1" x14ac:dyDescent="0.35">
      <c r="A4446" s="185" t="s">
        <v>177</v>
      </c>
      <c r="B4446" s="1280" t="s">
        <v>211</v>
      </c>
      <c r="C4446" s="1281"/>
      <c r="D4446" s="1282"/>
      <c r="E4446" s="566" t="s">
        <v>52</v>
      </c>
      <c r="F4446" s="566" t="s">
        <v>53</v>
      </c>
      <c r="G4446" s="1219" t="s">
        <v>54</v>
      </c>
      <c r="H4446" s="1220"/>
      <c r="I4446" s="185" t="s">
        <v>188</v>
      </c>
      <c r="J4446" s="1160"/>
      <c r="K4446" s="399" t="s">
        <v>180</v>
      </c>
      <c r="L4446" s="400"/>
      <c r="M4446" s="50"/>
      <c r="O4446" s="5"/>
    </row>
    <row r="4447" spans="1:19" ht="30" customHeight="1" x14ac:dyDescent="0.35">
      <c r="A4447" s="1016" t="s">
        <v>1872</v>
      </c>
      <c r="B4447" s="1212" t="s">
        <v>1920</v>
      </c>
      <c r="C4447" s="1213"/>
      <c r="D4447" s="1214"/>
      <c r="E4447" s="7">
        <v>3.28</v>
      </c>
      <c r="F4447" s="422" t="s">
        <v>113</v>
      </c>
      <c r="G4447" s="1161">
        <f>5932/H4445</f>
        <v>7.2618654131012281</v>
      </c>
      <c r="H4447" s="708" t="s">
        <v>1921</v>
      </c>
      <c r="I4447" s="186">
        <v>1.0900000000000001</v>
      </c>
      <c r="J4447" s="560"/>
      <c r="K4447" s="787">
        <f>+E4447*G4447*I4447</f>
        <v>25.962621224919509</v>
      </c>
      <c r="L4447" s="136" t="s">
        <v>163</v>
      </c>
      <c r="N4447" s="50"/>
      <c r="O4447" s="5"/>
    </row>
    <row r="4448" spans="1:19" ht="30" customHeight="1" x14ac:dyDescent="0.35">
      <c r="A4448" s="1016" t="s">
        <v>1872</v>
      </c>
      <c r="B4448" s="1212" t="s">
        <v>1922</v>
      </c>
      <c r="C4448" s="1213"/>
      <c r="D4448" s="1214"/>
      <c r="E4448" s="7">
        <v>23.45</v>
      </c>
      <c r="F4448" s="422" t="s">
        <v>28</v>
      </c>
      <c r="G4448" s="1161">
        <f>20/H4445</f>
        <v>2.4483699976740485E-2</v>
      </c>
      <c r="H4448" s="708" t="s">
        <v>1923</v>
      </c>
      <c r="I4448" s="186">
        <v>1.0900000000000001</v>
      </c>
      <c r="J4448" s="560"/>
      <c r="K4448" s="787">
        <f>+E4448*G4448*I4448</f>
        <v>0.62581561325547519</v>
      </c>
      <c r="L4448" s="136" t="s">
        <v>163</v>
      </c>
      <c r="M4448" s="10"/>
      <c r="O4448" s="5"/>
    </row>
    <row r="4449" spans="1:19" ht="30" customHeight="1" x14ac:dyDescent="0.35">
      <c r="A4449" s="1016"/>
      <c r="B4449" s="1212"/>
      <c r="C4449" s="1213"/>
      <c r="D4449" s="1214"/>
      <c r="E4449" s="7"/>
      <c r="F4449" s="422"/>
      <c r="G4449" s="707"/>
      <c r="H4449" s="708"/>
      <c r="I4449" s="560"/>
      <c r="J4449" s="186" t="s">
        <v>223</v>
      </c>
      <c r="K4449" s="205">
        <f>SUM(K4447:K4448)</f>
        <v>26.588436838174985</v>
      </c>
      <c r="L4449" s="136" t="s">
        <v>163</v>
      </c>
      <c r="M4449" s="10"/>
    </row>
    <row r="4450" spans="1:19" ht="30" customHeight="1" x14ac:dyDescent="0.35">
      <c r="A4450" s="186"/>
      <c r="B4450" s="567" t="s">
        <v>1911</v>
      </c>
      <c r="C4450" s="567"/>
      <c r="D4450" s="567"/>
      <c r="E4450" s="194"/>
      <c r="F4450" s="1215" t="s">
        <v>195</v>
      </c>
      <c r="G4450" s="1273" t="s">
        <v>196</v>
      </c>
      <c r="H4450" s="1273"/>
      <c r="I4450" s="1273"/>
      <c r="J4450" s="1273"/>
      <c r="K4450" s="196">
        <v>1.05</v>
      </c>
      <c r="L4450" s="186"/>
      <c r="N4450" s="50"/>
    </row>
    <row r="4451" spans="1:19" ht="30" customHeight="1" x14ac:dyDescent="0.35">
      <c r="A4451" s="186"/>
      <c r="B4451" s="567"/>
      <c r="C4451" s="567"/>
      <c r="D4451" s="567"/>
      <c r="E4451" s="194"/>
      <c r="F4451" s="1216"/>
      <c r="G4451" s="1268" t="s">
        <v>2875</v>
      </c>
      <c r="H4451" s="1268"/>
      <c r="I4451" s="1268"/>
      <c r="J4451" s="1268"/>
      <c r="K4451" s="196">
        <v>1.07</v>
      </c>
      <c r="L4451" s="186"/>
      <c r="N4451" s="50"/>
    </row>
    <row r="4452" spans="1:19" ht="30" customHeight="1" x14ac:dyDescent="0.35">
      <c r="A4452" s="186"/>
      <c r="B4452" s="1264" t="s">
        <v>1924</v>
      </c>
      <c r="C4452" s="1264"/>
      <c r="D4452" s="1264"/>
      <c r="E4452" s="503"/>
      <c r="F4452" s="503"/>
      <c r="G4452" s="186"/>
      <c r="H4452" s="503"/>
      <c r="I4452" s="503"/>
      <c r="J4452" s="186" t="s">
        <v>37</v>
      </c>
      <c r="K4452" s="193">
        <f>+K4449*K4450/K4451</f>
        <v>26.091456710358631</v>
      </c>
      <c r="L4452" s="136" t="s">
        <v>163</v>
      </c>
    </row>
    <row r="4453" spans="1:19" ht="30" customHeight="1" thickBot="1" x14ac:dyDescent="0.4">
      <c r="A4453" s="186"/>
      <c r="B4453" s="1350" t="s">
        <v>1925</v>
      </c>
      <c r="C4453" s="1351"/>
      <c r="D4453" s="1351"/>
      <c r="E4453" s="1351"/>
      <c r="F4453" s="1352"/>
      <c r="G4453" s="1194" t="s">
        <v>257</v>
      </c>
      <c r="H4453" s="1195"/>
      <c r="I4453" s="1196"/>
      <c r="J4453" s="560">
        <v>1.0485669999999998</v>
      </c>
      <c r="K4453" s="193">
        <f>+K4452*J4453</f>
        <v>27.358640488410614</v>
      </c>
      <c r="L4453" s="136" t="s">
        <v>163</v>
      </c>
    </row>
    <row r="4454" spans="1:19" ht="30" customHeight="1" thickBot="1" x14ac:dyDescent="0.4">
      <c r="A4454" s="1199"/>
      <c r="B4454" s="1200"/>
      <c r="C4454" s="1200"/>
      <c r="D4454" s="1200"/>
      <c r="E4454" s="1200"/>
      <c r="F4454" s="1200"/>
      <c r="G4454" s="1200"/>
      <c r="H4454" s="1200"/>
      <c r="I4454" s="1200"/>
      <c r="J4454" s="1200"/>
      <c r="K4454" s="1200"/>
      <c r="L4454" s="1201"/>
    </row>
    <row r="4455" spans="1:19" ht="30" customHeight="1" x14ac:dyDescent="0.35">
      <c r="A4455" s="388" t="s">
        <v>1</v>
      </c>
      <c r="B4455" s="389">
        <v>8721</v>
      </c>
      <c r="C4455" s="1205" t="s">
        <v>1926</v>
      </c>
      <c r="D4455" s="1206"/>
      <c r="E4455" s="392" t="s">
        <v>3</v>
      </c>
      <c r="F4455" s="393" t="s">
        <v>28</v>
      </c>
      <c r="G4455" s="390" t="s">
        <v>38</v>
      </c>
      <c r="H4455" s="132">
        <v>2735.8347739095898</v>
      </c>
      <c r="I4455" s="392" t="s">
        <v>5</v>
      </c>
      <c r="J4455" s="1207" t="s">
        <v>2538</v>
      </c>
      <c r="K4455" s="1207"/>
      <c r="L4455" s="1208"/>
      <c r="M4455" s="99"/>
    </row>
    <row r="4456" spans="1:19" ht="30" customHeight="1" x14ac:dyDescent="0.35">
      <c r="A4456" s="185" t="s">
        <v>177</v>
      </c>
      <c r="B4456" s="1280" t="s">
        <v>211</v>
      </c>
      <c r="C4456" s="1281"/>
      <c r="D4456" s="1282"/>
      <c r="E4456" s="311" t="s">
        <v>52</v>
      </c>
      <c r="F4456" s="566" t="s">
        <v>53</v>
      </c>
      <c r="G4456" s="1219" t="s">
        <v>54</v>
      </c>
      <c r="H4456" s="1220"/>
      <c r="I4456" s="1221" t="s">
        <v>179</v>
      </c>
      <c r="J4456" s="1222"/>
      <c r="K4456" s="1209" t="s">
        <v>180</v>
      </c>
      <c r="L4456" s="1210"/>
    </row>
    <row r="4457" spans="1:19" ht="30" customHeight="1" x14ac:dyDescent="0.35">
      <c r="A4457" s="1016">
        <v>87210</v>
      </c>
      <c r="B4457" s="1212" t="s">
        <v>2629</v>
      </c>
      <c r="C4457" s="1213"/>
      <c r="D4457" s="1214"/>
      <c r="E4457" s="7">
        <v>79.45</v>
      </c>
      <c r="F4457" s="422" t="s">
        <v>28</v>
      </c>
      <c r="G4457" s="18"/>
      <c r="H4457" s="708"/>
      <c r="I4457" s="1307">
        <f>+'FY2024 MILCON Inflation Table'!F22</f>
        <v>0.95834826759383673</v>
      </c>
      <c r="J4457" s="1308"/>
      <c r="K4457" s="734">
        <f>+E4457*I4457</f>
        <v>76.140769860330337</v>
      </c>
      <c r="L4457" s="186" t="s">
        <v>28</v>
      </c>
      <c r="N4457" s="50"/>
    </row>
    <row r="4458" spans="1:19" ht="30" customHeight="1" x14ac:dyDescent="0.35">
      <c r="A4458" s="1016">
        <v>87210</v>
      </c>
      <c r="B4458" s="1212" t="s">
        <v>2630</v>
      </c>
      <c r="C4458" s="1213"/>
      <c r="D4458" s="1214"/>
      <c r="E4458" s="7">
        <v>105.66</v>
      </c>
      <c r="F4458" s="422" t="s">
        <v>28</v>
      </c>
      <c r="G4458" s="1219"/>
      <c r="H4458" s="1220"/>
      <c r="I4458" s="1307">
        <f>+I4457</f>
        <v>0.95834826759383673</v>
      </c>
      <c r="J4458" s="1308"/>
      <c r="K4458" s="734">
        <f>+E4458*I4458</f>
        <v>101.25907795396479</v>
      </c>
      <c r="L4458" s="186" t="s">
        <v>28</v>
      </c>
      <c r="N4458" s="50"/>
    </row>
    <row r="4459" spans="1:19" ht="30" customHeight="1" x14ac:dyDescent="0.35">
      <c r="A4459" s="1016">
        <v>87210</v>
      </c>
      <c r="B4459" s="1212" t="s">
        <v>2631</v>
      </c>
      <c r="C4459" s="1213"/>
      <c r="D4459" s="1214"/>
      <c r="E4459" s="7">
        <v>132.66</v>
      </c>
      <c r="F4459" s="422" t="s">
        <v>28</v>
      </c>
      <c r="G4459" s="18"/>
      <c r="H4459" s="708"/>
      <c r="I4459" s="1307">
        <f>+I4457</f>
        <v>0.95834826759383673</v>
      </c>
      <c r="J4459" s="1308"/>
      <c r="K4459" s="734">
        <f>+E4459*I4459</f>
        <v>127.13448117899837</v>
      </c>
      <c r="L4459" s="186" t="s">
        <v>28</v>
      </c>
    </row>
    <row r="4460" spans="1:19" ht="31.5" customHeight="1" x14ac:dyDescent="0.35">
      <c r="A4460" s="186"/>
      <c r="B4460" s="1202"/>
      <c r="C4460" s="1203"/>
      <c r="D4460" s="1204"/>
      <c r="E4460" s="7"/>
      <c r="F4460" s="422"/>
      <c r="G4460" s="707"/>
      <c r="H4460" s="708"/>
      <c r="I4460" s="186"/>
      <c r="J4460" s="186" t="s">
        <v>2551</v>
      </c>
      <c r="K4460" s="734">
        <f>AVERAGE(K4457:K4459)</f>
        <v>101.5114429977645</v>
      </c>
      <c r="L4460" s="186" t="s">
        <v>28</v>
      </c>
      <c r="M4460" s="10"/>
    </row>
    <row r="4461" spans="1:19" ht="30" customHeight="1" x14ac:dyDescent="0.35">
      <c r="A4461" s="186">
        <v>87250</v>
      </c>
      <c r="B4461" s="1212" t="s">
        <v>2632</v>
      </c>
      <c r="C4461" s="1213"/>
      <c r="D4461" s="1214"/>
      <c r="E4461" s="7">
        <v>1567.17</v>
      </c>
      <c r="F4461" s="422" t="s">
        <v>40</v>
      </c>
      <c r="G4461" s="707">
        <v>500</v>
      </c>
      <c r="H4461" s="708" t="s">
        <v>1749</v>
      </c>
      <c r="I4461" s="1307">
        <f>+I4459</f>
        <v>0.95834826759383673</v>
      </c>
      <c r="J4461" s="1308"/>
      <c r="K4461" s="734">
        <f>+E4461/G4461*I4461</f>
        <v>3.0037893090500667</v>
      </c>
      <c r="L4461" s="186" t="s">
        <v>28</v>
      </c>
      <c r="M4461" s="10"/>
      <c r="O4461" s="5"/>
      <c r="P4461" s="9"/>
      <c r="Q4461" s="34"/>
      <c r="R4461" s="5"/>
      <c r="S4461" s="35"/>
    </row>
    <row r="4462" spans="1:19" ht="30" customHeight="1" x14ac:dyDescent="0.35">
      <c r="A4462" s="186">
        <v>87250</v>
      </c>
      <c r="B4462" s="1212" t="s">
        <v>2633</v>
      </c>
      <c r="C4462" s="1213"/>
      <c r="D4462" s="1214"/>
      <c r="E4462" s="7">
        <v>4285.8</v>
      </c>
      <c r="F4462" s="422" t="s">
        <v>40</v>
      </c>
      <c r="G4462" s="707">
        <v>1000</v>
      </c>
      <c r="H4462" s="708" t="s">
        <v>1749</v>
      </c>
      <c r="I4462" s="1307">
        <f>+I4457</f>
        <v>0.95834826759383673</v>
      </c>
      <c r="J4462" s="1308"/>
      <c r="K4462" s="734">
        <f>+E4462/G4462*I4462</f>
        <v>4.1072890052536657</v>
      </c>
      <c r="L4462" s="186" t="s">
        <v>28</v>
      </c>
    </row>
    <row r="4463" spans="1:19" ht="30" customHeight="1" x14ac:dyDescent="0.35">
      <c r="A4463" s="186">
        <v>87250</v>
      </c>
      <c r="B4463" s="1212" t="s">
        <v>2634</v>
      </c>
      <c r="C4463" s="1213"/>
      <c r="D4463" s="1214"/>
      <c r="E4463" s="7">
        <v>15277.46</v>
      </c>
      <c r="F4463" s="422" t="s">
        <v>40</v>
      </c>
      <c r="G4463" s="186">
        <v>2000</v>
      </c>
      <c r="H4463" s="708" t="s">
        <v>1749</v>
      </c>
      <c r="I4463" s="1307">
        <f>+I4457</f>
        <v>0.95834826759383673</v>
      </c>
      <c r="J4463" s="1308"/>
      <c r="K4463" s="734">
        <f>+E4463/G4463*I4463</f>
        <v>7.3205636621170687</v>
      </c>
      <c r="L4463" s="186" t="s">
        <v>28</v>
      </c>
    </row>
    <row r="4464" spans="1:19" ht="30" customHeight="1" x14ac:dyDescent="0.35">
      <c r="A4464" s="186">
        <v>87250</v>
      </c>
      <c r="B4464" s="1212" t="s">
        <v>2635</v>
      </c>
      <c r="C4464" s="1213"/>
      <c r="D4464" s="1214"/>
      <c r="E4464" s="7">
        <v>15164.49</v>
      </c>
      <c r="F4464" s="422" t="s">
        <v>40</v>
      </c>
      <c r="G4464" s="707">
        <v>2000</v>
      </c>
      <c r="H4464" s="708" t="s">
        <v>1749</v>
      </c>
      <c r="I4464" s="1307">
        <f>+I4457</f>
        <v>0.95834826759383673</v>
      </c>
      <c r="J4464" s="1308"/>
      <c r="K4464" s="734">
        <f>+E4464/G4464*I4464</f>
        <v>7.2664313602220298</v>
      </c>
      <c r="L4464" s="186" t="s">
        <v>28</v>
      </c>
    </row>
    <row r="4465" spans="1:19" ht="30" customHeight="1" x14ac:dyDescent="0.35">
      <c r="A4465" s="186"/>
      <c r="B4465" s="373"/>
      <c r="C4465" s="374"/>
      <c r="D4465" s="375"/>
      <c r="E4465" s="7"/>
      <c r="F4465" s="422"/>
      <c r="G4465" s="707"/>
      <c r="H4465" s="1413" t="s">
        <v>223</v>
      </c>
      <c r="I4465" s="1413"/>
      <c r="J4465" s="1414"/>
      <c r="K4465" s="734">
        <f>+K4460+K4461+K4462+K4463+K4464</f>
        <v>123.20951633440733</v>
      </c>
      <c r="L4465" s="186" t="s">
        <v>28</v>
      </c>
    </row>
    <row r="4466" spans="1:19" ht="30" customHeight="1" thickBot="1" x14ac:dyDescent="0.4">
      <c r="A4466" s="503"/>
      <c r="B4466" s="186"/>
      <c r="C4466" s="503"/>
      <c r="D4466" s="503"/>
      <c r="E4466" s="503"/>
      <c r="F4466" s="503"/>
      <c r="G4466" s="503"/>
      <c r="H4466" s="503"/>
      <c r="I4466" s="503"/>
      <c r="J4466" s="494" t="s">
        <v>37</v>
      </c>
      <c r="K4466" s="734">
        <f>+K4465</f>
        <v>123.20951633440733</v>
      </c>
      <c r="L4466" s="186" t="s">
        <v>28</v>
      </c>
    </row>
    <row r="4467" spans="1:19" ht="30" customHeight="1" thickBot="1" x14ac:dyDescent="0.4">
      <c r="A4467" s="1199"/>
      <c r="B4467" s="1200"/>
      <c r="C4467" s="1200"/>
      <c r="D4467" s="1200"/>
      <c r="E4467" s="1200"/>
      <c r="F4467" s="1200"/>
      <c r="G4467" s="1200"/>
      <c r="H4467" s="1200"/>
      <c r="I4467" s="1200"/>
      <c r="J4467" s="1200"/>
      <c r="K4467" s="1200"/>
      <c r="L4467" s="1201"/>
      <c r="M4467" s="10"/>
    </row>
    <row r="4468" spans="1:19" ht="30" customHeight="1" x14ac:dyDescent="0.35">
      <c r="A4468" s="388" t="s">
        <v>1</v>
      </c>
      <c r="B4468" s="389">
        <v>8722</v>
      </c>
      <c r="C4468" s="1288" t="s">
        <v>1927</v>
      </c>
      <c r="D4468" s="1289"/>
      <c r="E4468" s="392" t="s">
        <v>3</v>
      </c>
      <c r="F4468" s="393" t="s">
        <v>28</v>
      </c>
      <c r="G4468" s="390" t="s">
        <v>38</v>
      </c>
      <c r="H4468" s="132">
        <v>4865.2842097329803</v>
      </c>
      <c r="I4468" s="392" t="s">
        <v>5</v>
      </c>
      <c r="J4468" s="1207" t="s">
        <v>2538</v>
      </c>
      <c r="K4468" s="1207"/>
      <c r="L4468" s="1208"/>
      <c r="M4468" s="99"/>
    </row>
    <row r="4469" spans="1:19" ht="30" customHeight="1" x14ac:dyDescent="0.35">
      <c r="A4469" s="185" t="s">
        <v>177</v>
      </c>
      <c r="B4469" s="1280" t="s">
        <v>211</v>
      </c>
      <c r="C4469" s="1281"/>
      <c r="D4469" s="1282"/>
      <c r="E4469" s="311" t="s">
        <v>52</v>
      </c>
      <c r="F4469" s="566" t="s">
        <v>53</v>
      </c>
      <c r="G4469" s="1219" t="s">
        <v>54</v>
      </c>
      <c r="H4469" s="1220"/>
      <c r="I4469" s="1221" t="s">
        <v>179</v>
      </c>
      <c r="J4469" s="1222"/>
      <c r="K4469" s="1209" t="s">
        <v>180</v>
      </c>
      <c r="L4469" s="1210"/>
    </row>
    <row r="4470" spans="1:19" ht="30" customHeight="1" x14ac:dyDescent="0.35">
      <c r="A4470" s="1016">
        <v>87210</v>
      </c>
      <c r="B4470" s="1212" t="s">
        <v>2630</v>
      </c>
      <c r="C4470" s="1213"/>
      <c r="D4470" s="1214"/>
      <c r="E4470" s="7">
        <v>105.66</v>
      </c>
      <c r="F4470" s="422" t="s">
        <v>28</v>
      </c>
      <c r="G4470" s="1219"/>
      <c r="H4470" s="1220"/>
      <c r="I4470" s="1307">
        <f>+'FY2024 MILCON Inflation Table'!F22</f>
        <v>0.95834826759383673</v>
      </c>
      <c r="J4470" s="1308"/>
      <c r="K4470" s="734">
        <f>+E4470*I4470</f>
        <v>101.25907795396479</v>
      </c>
      <c r="L4470" s="186" t="s">
        <v>28</v>
      </c>
    </row>
    <row r="4471" spans="1:19" ht="30" customHeight="1" x14ac:dyDescent="0.35">
      <c r="A4471" s="1016">
        <v>87210</v>
      </c>
      <c r="B4471" s="1212" t="s">
        <v>2631</v>
      </c>
      <c r="C4471" s="1213"/>
      <c r="D4471" s="1214"/>
      <c r="E4471" s="7">
        <v>132.66</v>
      </c>
      <c r="F4471" s="422" t="s">
        <v>28</v>
      </c>
      <c r="G4471" s="18"/>
      <c r="H4471" s="708"/>
      <c r="I4471" s="1307">
        <f>+I4470</f>
        <v>0.95834826759383673</v>
      </c>
      <c r="J4471" s="1308"/>
      <c r="K4471" s="734">
        <f>+E4471*I4471</f>
        <v>127.13448117899837</v>
      </c>
      <c r="L4471" s="186" t="s">
        <v>28</v>
      </c>
    </row>
    <row r="4472" spans="1:19" ht="30" customHeight="1" x14ac:dyDescent="0.35">
      <c r="A4472" s="186"/>
      <c r="B4472" s="1202"/>
      <c r="C4472" s="1203"/>
      <c r="D4472" s="1204"/>
      <c r="E4472" s="7"/>
      <c r="F4472" s="422"/>
      <c r="G4472" s="707"/>
      <c r="H4472" s="708"/>
      <c r="I4472" s="186"/>
      <c r="J4472" s="186" t="s">
        <v>2551</v>
      </c>
      <c r="K4472" s="734">
        <f>AVERAGE(K4470:K4471)</f>
        <v>114.19677956648158</v>
      </c>
      <c r="L4472" s="186" t="s">
        <v>28</v>
      </c>
      <c r="M4472" s="10"/>
    </row>
    <row r="4473" spans="1:19" ht="30" customHeight="1" x14ac:dyDescent="0.35">
      <c r="A4473" s="1016">
        <v>87210</v>
      </c>
      <c r="B4473" s="1369" t="s">
        <v>2636</v>
      </c>
      <c r="C4473" s="1370"/>
      <c r="D4473" s="1371"/>
      <c r="E4473" s="7">
        <v>454.83</v>
      </c>
      <c r="F4473" s="422" t="s">
        <v>2637</v>
      </c>
      <c r="G4473" s="18">
        <v>100</v>
      </c>
      <c r="H4473" s="708" t="s">
        <v>2638</v>
      </c>
      <c r="I4473" s="1400">
        <f>+I4470</f>
        <v>0.95834826759383673</v>
      </c>
      <c r="J4473" s="1401"/>
      <c r="K4473" s="734">
        <f>+E4473/G4473*I4473</f>
        <v>4.3588554254970475</v>
      </c>
      <c r="L4473" s="271" t="s">
        <v>28</v>
      </c>
    </row>
    <row r="4474" spans="1:19" ht="30" customHeight="1" x14ac:dyDescent="0.35">
      <c r="A4474" s="186">
        <v>87250</v>
      </c>
      <c r="B4474" s="1212" t="s">
        <v>2632</v>
      </c>
      <c r="C4474" s="1213"/>
      <c r="D4474" s="1214"/>
      <c r="E4474" s="7">
        <v>1567.17</v>
      </c>
      <c r="F4474" s="422" t="s">
        <v>40</v>
      </c>
      <c r="G4474" s="707">
        <v>500</v>
      </c>
      <c r="H4474" s="708" t="s">
        <v>1749</v>
      </c>
      <c r="I4474" s="1307">
        <f>+I4470</f>
        <v>0.95834826759383673</v>
      </c>
      <c r="J4474" s="1308"/>
      <c r="K4474" s="734">
        <f>+E4474/G4474*I4474</f>
        <v>3.0037893090500667</v>
      </c>
      <c r="L4474" s="186" t="s">
        <v>28</v>
      </c>
      <c r="M4474" s="10"/>
    </row>
    <row r="4475" spans="1:19" ht="30" customHeight="1" x14ac:dyDescent="0.35">
      <c r="A4475" s="186">
        <v>87250</v>
      </c>
      <c r="B4475" s="1212" t="s">
        <v>2633</v>
      </c>
      <c r="C4475" s="1213"/>
      <c r="D4475" s="1214"/>
      <c r="E4475" s="7">
        <v>4285.8</v>
      </c>
      <c r="F4475" s="422" t="s">
        <v>40</v>
      </c>
      <c r="G4475" s="707">
        <v>1000</v>
      </c>
      <c r="H4475" s="708" t="s">
        <v>1749</v>
      </c>
      <c r="I4475" s="1307">
        <f>+I4470</f>
        <v>0.95834826759383673</v>
      </c>
      <c r="J4475" s="1308"/>
      <c r="K4475" s="734">
        <f>+E4475/G4475*I4475</f>
        <v>4.1072890052536657</v>
      </c>
      <c r="L4475" s="186" t="s">
        <v>28</v>
      </c>
      <c r="N4475" s="10"/>
    </row>
    <row r="4476" spans="1:19" ht="30" customHeight="1" x14ac:dyDescent="0.35">
      <c r="A4476" s="186">
        <v>87250</v>
      </c>
      <c r="B4476" s="1212" t="s">
        <v>2634</v>
      </c>
      <c r="C4476" s="1213"/>
      <c r="D4476" s="1214"/>
      <c r="E4476" s="7">
        <v>15277.46</v>
      </c>
      <c r="F4476" s="422" t="s">
        <v>40</v>
      </c>
      <c r="G4476" s="186">
        <v>2000</v>
      </c>
      <c r="H4476" s="708" t="s">
        <v>1749</v>
      </c>
      <c r="I4476" s="1307">
        <f>+I4470</f>
        <v>0.95834826759383673</v>
      </c>
      <c r="J4476" s="1308"/>
      <c r="K4476" s="734">
        <f>+E4476/G4476*I4476</f>
        <v>7.3205636621170687</v>
      </c>
      <c r="L4476" s="186" t="s">
        <v>28</v>
      </c>
      <c r="N4476" s="10"/>
    </row>
    <row r="4477" spans="1:19" ht="30" customHeight="1" x14ac:dyDescent="0.35">
      <c r="A4477" s="186">
        <v>87250</v>
      </c>
      <c r="B4477" s="1212" t="s">
        <v>2635</v>
      </c>
      <c r="C4477" s="1213"/>
      <c r="D4477" s="1214"/>
      <c r="E4477" s="7">
        <v>15164.49</v>
      </c>
      <c r="F4477" s="422" t="s">
        <v>40</v>
      </c>
      <c r="G4477" s="707">
        <v>2000</v>
      </c>
      <c r="H4477" s="708" t="s">
        <v>1749</v>
      </c>
      <c r="I4477" s="1307">
        <f>+I4470</f>
        <v>0.95834826759383673</v>
      </c>
      <c r="J4477" s="1308"/>
      <c r="K4477" s="734">
        <f>+E4477/G4477*I4477</f>
        <v>7.2664313602220298</v>
      </c>
      <c r="L4477" s="186" t="s">
        <v>28</v>
      </c>
    </row>
    <row r="4478" spans="1:19" ht="30" customHeight="1" x14ac:dyDescent="0.35">
      <c r="A4478" s="186"/>
      <c r="B4478" s="373"/>
      <c r="C4478" s="374"/>
      <c r="D4478" s="375"/>
      <c r="E4478" s="7"/>
      <c r="F4478" s="422"/>
      <c r="G4478" s="707"/>
      <c r="H4478" s="1413" t="s">
        <v>223</v>
      </c>
      <c r="I4478" s="1413"/>
      <c r="J4478" s="1414"/>
      <c r="K4478" s="734">
        <f>+K4472+K4473+K4474+K4475+K4476+K4477</f>
        <v>140.25370832862146</v>
      </c>
      <c r="L4478" s="186" t="s">
        <v>28</v>
      </c>
    </row>
    <row r="4479" spans="1:19" ht="30" customHeight="1" thickBot="1" x14ac:dyDescent="0.4">
      <c r="A4479" s="503"/>
      <c r="B4479" s="186"/>
      <c r="C4479" s="503"/>
      <c r="D4479" s="503"/>
      <c r="E4479" s="503"/>
      <c r="F4479" s="503"/>
      <c r="G4479" s="503"/>
      <c r="H4479" s="503"/>
      <c r="I4479" s="503"/>
      <c r="J4479" s="494" t="s">
        <v>37</v>
      </c>
      <c r="K4479" s="202">
        <f>+K4478</f>
        <v>140.25370832862146</v>
      </c>
      <c r="L4479" s="186" t="s">
        <v>28</v>
      </c>
      <c r="N4479" s="50"/>
    </row>
    <row r="4480" spans="1:19" ht="30" customHeight="1" thickBot="1" x14ac:dyDescent="0.4">
      <c r="A4480" s="1199"/>
      <c r="B4480" s="1200"/>
      <c r="C4480" s="1200"/>
      <c r="D4480" s="1200"/>
      <c r="E4480" s="1200"/>
      <c r="F4480" s="1200"/>
      <c r="G4480" s="1200"/>
      <c r="H4480" s="1200"/>
      <c r="I4480" s="1200"/>
      <c r="J4480" s="1200"/>
      <c r="K4480" s="1200"/>
      <c r="L4480" s="1201"/>
      <c r="O4480" s="5"/>
      <c r="P4480" s="9"/>
      <c r="Q4480" s="34"/>
      <c r="R4480" s="5"/>
      <c r="S4480" s="35"/>
    </row>
    <row r="4481" spans="1:19" ht="30" customHeight="1" x14ac:dyDescent="0.35">
      <c r="A4481" s="388" t="s">
        <v>1</v>
      </c>
      <c r="B4481" s="389">
        <v>8811</v>
      </c>
      <c r="C4481" s="1205" t="s">
        <v>1928</v>
      </c>
      <c r="D4481" s="1206"/>
      <c r="E4481" s="392" t="s">
        <v>3</v>
      </c>
      <c r="F4481" s="393" t="s">
        <v>40</v>
      </c>
      <c r="G4481" s="390" t="s">
        <v>38</v>
      </c>
      <c r="H4481" s="132">
        <v>1</v>
      </c>
      <c r="I4481" s="392" t="s">
        <v>5</v>
      </c>
      <c r="J4481" s="1411" t="s">
        <v>2813</v>
      </c>
      <c r="K4481" s="1411"/>
      <c r="L4481" s="1412"/>
      <c r="M4481" s="99"/>
      <c r="O4481" s="384"/>
      <c r="P4481" s="9"/>
      <c r="Q4481" s="34"/>
      <c r="R4481" s="5"/>
      <c r="S4481" s="35"/>
    </row>
    <row r="4482" spans="1:19" ht="30" customHeight="1" x14ac:dyDescent="0.35">
      <c r="A4482" s="185"/>
      <c r="B4482" s="1272" t="s">
        <v>7</v>
      </c>
      <c r="C4482" s="1272"/>
      <c r="D4482" s="1272"/>
      <c r="E4482" s="185" t="s">
        <v>52</v>
      </c>
      <c r="F4482" s="185" t="s">
        <v>53</v>
      </c>
      <c r="G4482" s="1219" t="s">
        <v>54</v>
      </c>
      <c r="H4482" s="1220"/>
      <c r="I4482" s="185" t="s">
        <v>55</v>
      </c>
      <c r="J4482" s="185" t="s">
        <v>56</v>
      </c>
      <c r="K4482" s="1209" t="s">
        <v>37</v>
      </c>
      <c r="L4482" s="1210"/>
      <c r="M4482" s="99"/>
    </row>
    <row r="4483" spans="1:19" ht="30" customHeight="1" thickBot="1" x14ac:dyDescent="0.4">
      <c r="A4483" s="407"/>
      <c r="B4483" s="1263" t="s">
        <v>1928</v>
      </c>
      <c r="C4483" s="1263"/>
      <c r="D4483" s="1263"/>
      <c r="E4483" s="469">
        <v>99814354.270495996</v>
      </c>
      <c r="F4483" s="188" t="s">
        <v>40</v>
      </c>
      <c r="G4483" s="1332"/>
      <c r="H4483" s="1333"/>
      <c r="I4483" s="188"/>
      <c r="J4483" s="906">
        <f>+'FY2024 MILCON Inflation Table'!F18</f>
        <v>1.1706170972389343</v>
      </c>
      <c r="K4483" s="471">
        <f>E4483*J4483</f>
        <v>116844389.65890664</v>
      </c>
      <c r="L4483" s="188" t="s">
        <v>40</v>
      </c>
      <c r="M4483" s="50"/>
    </row>
    <row r="4484" spans="1:19" ht="30" customHeight="1" thickBot="1" x14ac:dyDescent="0.4">
      <c r="A4484" s="1199"/>
      <c r="B4484" s="1200"/>
      <c r="C4484" s="1200"/>
      <c r="D4484" s="1200"/>
      <c r="E4484" s="1200"/>
      <c r="F4484" s="1200"/>
      <c r="G4484" s="1200"/>
      <c r="H4484" s="1200"/>
      <c r="I4484" s="1200"/>
      <c r="J4484" s="1200"/>
      <c r="K4484" s="1200"/>
      <c r="L4484" s="1201"/>
      <c r="M4484" s="50"/>
    </row>
    <row r="4485" spans="1:19" ht="30" customHeight="1" x14ac:dyDescent="0.35">
      <c r="A4485" s="388" t="s">
        <v>1</v>
      </c>
      <c r="B4485" s="389">
        <v>8812</v>
      </c>
      <c r="C4485" s="1205" t="s">
        <v>1929</v>
      </c>
      <c r="D4485" s="1206"/>
      <c r="E4485" s="392" t="s">
        <v>3</v>
      </c>
      <c r="F4485" s="393" t="s">
        <v>40</v>
      </c>
      <c r="G4485" s="390" t="s">
        <v>38</v>
      </c>
      <c r="H4485" s="132" t="s">
        <v>1930</v>
      </c>
      <c r="I4485" s="392" t="s">
        <v>5</v>
      </c>
      <c r="J4485" s="1207" t="s">
        <v>2818</v>
      </c>
      <c r="K4485" s="1207"/>
      <c r="L4485" s="1208"/>
      <c r="M4485" s="255"/>
    </row>
    <row r="4486" spans="1:19" ht="30" customHeight="1" x14ac:dyDescent="0.35">
      <c r="A4486" s="185"/>
      <c r="B4486" s="1272" t="s">
        <v>7</v>
      </c>
      <c r="C4486" s="1272"/>
      <c r="D4486" s="1272"/>
      <c r="E4486" s="185" t="s">
        <v>52</v>
      </c>
      <c r="F4486" s="185" t="s">
        <v>53</v>
      </c>
      <c r="G4486" s="1219" t="s">
        <v>54</v>
      </c>
      <c r="H4486" s="1220"/>
      <c r="I4486" s="185" t="s">
        <v>55</v>
      </c>
      <c r="J4486" s="185" t="s">
        <v>56</v>
      </c>
      <c r="K4486" s="1209" t="s">
        <v>37</v>
      </c>
      <c r="L4486" s="1210"/>
      <c r="M4486" s="255"/>
    </row>
    <row r="4487" spans="1:19" ht="30" customHeight="1" thickBot="1" x14ac:dyDescent="0.4">
      <c r="A4487" s="407"/>
      <c r="B4487" s="1263" t="s">
        <v>1928</v>
      </c>
      <c r="C4487" s="1263"/>
      <c r="D4487" s="1263"/>
      <c r="E4487" s="469">
        <f>K4483</f>
        <v>116844389.65890664</v>
      </c>
      <c r="F4487" s="188" t="s">
        <v>40</v>
      </c>
      <c r="G4487" s="1332"/>
      <c r="H4487" s="1333"/>
      <c r="I4487" s="188"/>
      <c r="J4487" s="906"/>
      <c r="K4487" s="471">
        <f>E4487</f>
        <v>116844389.65890664</v>
      </c>
      <c r="L4487" s="188" t="s">
        <v>40</v>
      </c>
      <c r="M4487" s="50"/>
      <c r="O4487" s="5"/>
      <c r="P4487" s="9"/>
      <c r="Q4487" s="34"/>
      <c r="R4487" s="5"/>
      <c r="S4487" s="35"/>
    </row>
    <row r="4488" spans="1:19" ht="30" customHeight="1" thickBot="1" x14ac:dyDescent="0.4">
      <c r="A4488" s="1199"/>
      <c r="B4488" s="1200"/>
      <c r="C4488" s="1200"/>
      <c r="D4488" s="1200"/>
      <c r="E4488" s="1200"/>
      <c r="F4488" s="1200"/>
      <c r="G4488" s="1200"/>
      <c r="H4488" s="1200"/>
      <c r="I4488" s="1200"/>
      <c r="J4488" s="1200"/>
      <c r="K4488" s="1200"/>
      <c r="L4488" s="1201"/>
      <c r="M4488" s="50"/>
      <c r="O4488" s="384"/>
      <c r="P4488" s="9"/>
      <c r="Q4488" s="34"/>
      <c r="R4488" s="5"/>
      <c r="S4488" s="35"/>
    </row>
    <row r="4489" spans="1:19" ht="30" customHeight="1" x14ac:dyDescent="0.35">
      <c r="A4489" s="388" t="s">
        <v>1</v>
      </c>
      <c r="B4489" s="389">
        <v>8813</v>
      </c>
      <c r="C4489" s="1205" t="s">
        <v>1931</v>
      </c>
      <c r="D4489" s="1206"/>
      <c r="E4489" s="392" t="s">
        <v>3</v>
      </c>
      <c r="F4489" s="393" t="s">
        <v>28</v>
      </c>
      <c r="G4489" s="390" t="s">
        <v>38</v>
      </c>
      <c r="H4489" s="132" t="s">
        <v>1930</v>
      </c>
      <c r="I4489" s="392" t="s">
        <v>5</v>
      </c>
      <c r="J4489" s="1207" t="s">
        <v>390</v>
      </c>
      <c r="K4489" s="1207"/>
      <c r="L4489" s="1208"/>
    </row>
    <row r="4490" spans="1:19" ht="30" customHeight="1" x14ac:dyDescent="0.35">
      <c r="A4490" s="494" t="s">
        <v>187</v>
      </c>
      <c r="B4490" s="1280" t="s">
        <v>211</v>
      </c>
      <c r="C4490" s="1281"/>
      <c r="D4490" s="1282"/>
      <c r="E4490" s="566" t="s">
        <v>52</v>
      </c>
      <c r="F4490" s="566" t="s">
        <v>53</v>
      </c>
      <c r="G4490" s="1219" t="s">
        <v>54</v>
      </c>
      <c r="H4490" s="1220"/>
      <c r="I4490" s="185" t="s">
        <v>188</v>
      </c>
      <c r="J4490" s="185"/>
      <c r="K4490" s="1209" t="s">
        <v>180</v>
      </c>
      <c r="L4490" s="1210"/>
      <c r="M4490" s="10"/>
    </row>
    <row r="4491" spans="1:19" ht="30" customHeight="1" x14ac:dyDescent="0.35">
      <c r="A4491" s="186" t="s">
        <v>347</v>
      </c>
      <c r="B4491" s="1202" t="s">
        <v>1932</v>
      </c>
      <c r="C4491" s="1203"/>
      <c r="D4491" s="1204"/>
      <c r="E4491" s="733">
        <f>+(5.71+11.1)/2</f>
        <v>8.4049999999999994</v>
      </c>
      <c r="F4491" s="422" t="s">
        <v>4</v>
      </c>
      <c r="G4491" s="707">
        <v>1</v>
      </c>
      <c r="H4491" s="708" t="s">
        <v>415</v>
      </c>
      <c r="I4491" s="186">
        <v>1.03</v>
      </c>
      <c r="J4491" s="186"/>
      <c r="K4491" s="787">
        <f>+E4491*I4491</f>
        <v>8.6571499999999997</v>
      </c>
      <c r="L4491" s="422" t="s">
        <v>28</v>
      </c>
    </row>
    <row r="4492" spans="1:19" ht="30" customHeight="1" x14ac:dyDescent="0.35">
      <c r="A4492" s="186" t="s">
        <v>347</v>
      </c>
      <c r="B4492" s="1202" t="s">
        <v>358</v>
      </c>
      <c r="C4492" s="1203"/>
      <c r="D4492" s="1204"/>
      <c r="E4492" s="7">
        <f>(86.5+261)/2</f>
        <v>173.75</v>
      </c>
      <c r="F4492" s="422" t="s">
        <v>4</v>
      </c>
      <c r="G4492" s="707">
        <v>1</v>
      </c>
      <c r="H4492" s="708" t="s">
        <v>415</v>
      </c>
      <c r="I4492" s="186">
        <v>1.03</v>
      </c>
      <c r="J4492" s="186"/>
      <c r="K4492" s="787">
        <f>+E4492*I4492</f>
        <v>178.96250000000001</v>
      </c>
      <c r="L4492" s="422" t="s">
        <v>28</v>
      </c>
    </row>
    <row r="4493" spans="1:19" ht="30" customHeight="1" x14ac:dyDescent="0.35">
      <c r="A4493" s="186" t="s">
        <v>347</v>
      </c>
      <c r="B4493" s="1202" t="s">
        <v>1933</v>
      </c>
      <c r="C4493" s="1203"/>
      <c r="D4493" s="1204"/>
      <c r="E4493" s="7">
        <f>(83.5+118)/2</f>
        <v>100.75</v>
      </c>
      <c r="F4493" s="422" t="s">
        <v>4</v>
      </c>
      <c r="G4493" s="707">
        <v>1</v>
      </c>
      <c r="H4493" s="708" t="s">
        <v>415</v>
      </c>
      <c r="I4493" s="186">
        <v>1.03</v>
      </c>
      <c r="J4493" s="186"/>
      <c r="K4493" s="787">
        <f>+E4493*I4493</f>
        <v>103.77250000000001</v>
      </c>
      <c r="L4493" s="422" t="s">
        <v>28</v>
      </c>
      <c r="N4493" s="50"/>
    </row>
    <row r="4494" spans="1:19" ht="30" customHeight="1" x14ac:dyDescent="0.35">
      <c r="A4494" s="186" t="s">
        <v>347</v>
      </c>
      <c r="B4494" s="1202" t="s">
        <v>360</v>
      </c>
      <c r="C4494" s="1203"/>
      <c r="D4494" s="1204"/>
      <c r="E4494" s="7">
        <f>(0.65+4.8)/2</f>
        <v>2.7250000000000001</v>
      </c>
      <c r="F4494" s="422" t="s">
        <v>4</v>
      </c>
      <c r="G4494" s="707">
        <v>1</v>
      </c>
      <c r="H4494" s="708" t="s">
        <v>415</v>
      </c>
      <c r="I4494" s="186">
        <v>1.03</v>
      </c>
      <c r="J4494" s="186"/>
      <c r="K4494" s="787">
        <f>+E4494/G4494*I4494</f>
        <v>2.8067500000000001</v>
      </c>
      <c r="L4494" s="422" t="s">
        <v>28</v>
      </c>
    </row>
    <row r="4495" spans="1:19" ht="30" customHeight="1" x14ac:dyDescent="0.35">
      <c r="A4495" s="186" t="s">
        <v>347</v>
      </c>
      <c r="B4495" s="1202" t="s">
        <v>1907</v>
      </c>
      <c r="C4495" s="1203"/>
      <c r="D4495" s="1204"/>
      <c r="E4495" s="7">
        <f>(10.5+18)/2</f>
        <v>14.25</v>
      </c>
      <c r="F4495" s="422" t="s">
        <v>4</v>
      </c>
      <c r="G4495" s="707">
        <v>1</v>
      </c>
      <c r="H4495" s="708" t="s">
        <v>415</v>
      </c>
      <c r="I4495" s="186">
        <v>1.03</v>
      </c>
      <c r="J4495" s="186"/>
      <c r="K4495" s="787">
        <f>+E4495/G4495*I4495</f>
        <v>14.6775</v>
      </c>
      <c r="L4495" s="422" t="s">
        <v>28</v>
      </c>
      <c r="M4495" s="50"/>
    </row>
    <row r="4496" spans="1:19" ht="30" customHeight="1" x14ac:dyDescent="0.35">
      <c r="A4496" s="503"/>
      <c r="B4496" s="503" t="s">
        <v>1934</v>
      </c>
      <c r="C4496" s="567"/>
      <c r="D4496" s="567"/>
      <c r="E4496" s="194"/>
      <c r="F4496" s="186"/>
      <c r="G4496" s="186"/>
      <c r="H4496" s="186"/>
      <c r="I4496" s="186"/>
      <c r="J4496" s="186" t="s">
        <v>192</v>
      </c>
      <c r="K4496" s="205">
        <f>AVERAGE(K4491:K4495)</f>
        <v>61.775280000000009</v>
      </c>
      <c r="L4496" s="186" t="s">
        <v>28</v>
      </c>
    </row>
    <row r="4497" spans="1:19" ht="30" customHeight="1" x14ac:dyDescent="0.35">
      <c r="A4497" s="186"/>
      <c r="B4497" s="567"/>
      <c r="C4497" s="567"/>
      <c r="D4497" s="567"/>
      <c r="E4497" s="194"/>
      <c r="F4497" s="1215" t="s">
        <v>195</v>
      </c>
      <c r="G4497" s="1273" t="s">
        <v>196</v>
      </c>
      <c r="H4497" s="1273"/>
      <c r="I4497" s="1273"/>
      <c r="J4497" s="1273"/>
      <c r="K4497" s="196">
        <v>1.07</v>
      </c>
      <c r="L4497" s="186"/>
    </row>
    <row r="4498" spans="1:19" ht="30" customHeight="1" x14ac:dyDescent="0.35">
      <c r="A4498" s="186"/>
      <c r="B4498" s="567"/>
      <c r="C4498" s="567"/>
      <c r="D4498" s="567"/>
      <c r="E4498" s="194"/>
      <c r="F4498" s="1216"/>
      <c r="G4498" s="1268" t="s">
        <v>276</v>
      </c>
      <c r="H4498" s="1268"/>
      <c r="I4498" s="1268"/>
      <c r="J4498" s="1268"/>
      <c r="K4498" s="196">
        <v>1.08</v>
      </c>
      <c r="L4498" s="186"/>
    </row>
    <row r="4499" spans="1:19" ht="30" customHeight="1" x14ac:dyDescent="0.35">
      <c r="A4499" s="503"/>
      <c r="B4499" s="186"/>
      <c r="C4499" s="503"/>
      <c r="D4499" s="503"/>
      <c r="E4499" s="503"/>
      <c r="F4499" s="503"/>
      <c r="G4499" s="503"/>
      <c r="H4499" s="503"/>
      <c r="I4499" s="503"/>
      <c r="J4499" s="186" t="s">
        <v>37</v>
      </c>
      <c r="K4499" s="193">
        <f>+K4496*K4497/K4498</f>
        <v>61.203286666666678</v>
      </c>
      <c r="L4499" s="186" t="s">
        <v>28</v>
      </c>
      <c r="M4499" s="10"/>
      <c r="N4499" s="50"/>
    </row>
    <row r="4500" spans="1:19" ht="30" customHeight="1" x14ac:dyDescent="0.35">
      <c r="A4500" s="186"/>
      <c r="B4500" s="186"/>
      <c r="C4500" s="503"/>
      <c r="D4500" s="503"/>
      <c r="E4500" s="503"/>
      <c r="F4500" s="503"/>
      <c r="G4500" s="1374" t="s">
        <v>257</v>
      </c>
      <c r="H4500" s="1375"/>
      <c r="I4500" s="1376"/>
      <c r="J4500" s="560">
        <f>VLOOKUP(B4489,'Mil Cost Premiums for PUCs'!$A$4:$R$285,18,FALSE)</f>
        <v>1.0905505199999999</v>
      </c>
      <c r="K4500" s="193">
        <f>+K4499*J4500</f>
        <v>66.745276100042403</v>
      </c>
      <c r="L4500" s="186" t="s">
        <v>28</v>
      </c>
      <c r="M4500" s="10"/>
      <c r="N4500" s="50"/>
    </row>
    <row r="4501" spans="1:19" ht="30" customHeight="1" x14ac:dyDescent="0.35">
      <c r="A4501" s="904"/>
      <c r="B4501" s="904"/>
      <c r="C4501" s="905"/>
      <c r="D4501" s="905"/>
      <c r="E4501" s="905"/>
      <c r="F4501" s="1415" t="s">
        <v>277</v>
      </c>
      <c r="G4501" s="1415"/>
      <c r="H4501" s="1415"/>
      <c r="I4501" s="1415"/>
      <c r="J4501" s="1086">
        <v>1.0833999999999999</v>
      </c>
      <c r="K4501" s="1162">
        <f>K4500*J4501</f>
        <v>72.31183212678593</v>
      </c>
      <c r="L4501" s="186" t="s">
        <v>28</v>
      </c>
      <c r="N4501" s="50"/>
    </row>
    <row r="4502" spans="1:19" ht="30" customHeight="1" x14ac:dyDescent="0.35">
      <c r="A4502" s="569"/>
      <c r="B4502" s="569"/>
      <c r="C4502" s="510"/>
      <c r="D4502" s="510"/>
      <c r="E4502" s="510"/>
      <c r="F4502" s="510"/>
      <c r="G4502" s="1737" t="s">
        <v>2817</v>
      </c>
      <c r="H4502" s="1738"/>
      <c r="I4502" s="1739"/>
      <c r="J4502" s="570">
        <v>1.1214</v>
      </c>
      <c r="K4502" s="285">
        <f>+K4501*J4502</f>
        <v>81.090488546977738</v>
      </c>
      <c r="L4502" s="186" t="s">
        <v>28</v>
      </c>
      <c r="M4502" s="50"/>
    </row>
    <row r="4503" spans="1:19" ht="30" customHeight="1" thickBot="1" x14ac:dyDescent="0.4">
      <c r="A4503" s="569"/>
      <c r="B4503" s="569"/>
      <c r="C4503" s="510"/>
      <c r="D4503" s="510"/>
      <c r="E4503" s="510"/>
      <c r="F4503" s="510"/>
      <c r="G4503" s="1191" t="s">
        <v>3000</v>
      </c>
      <c r="H4503" s="1192"/>
      <c r="I4503" s="1193"/>
      <c r="J4503" s="570">
        <v>1.0438745311870361</v>
      </c>
      <c r="K4503" s="285">
        <f>+K4502*J4503</f>
        <v>84.648295715704108</v>
      </c>
      <c r="L4503" s="186" t="s">
        <v>28</v>
      </c>
      <c r="M4503" s="50"/>
    </row>
    <row r="4504" spans="1:19" ht="30" customHeight="1" thickBot="1" x14ac:dyDescent="0.4">
      <c r="A4504" s="1199"/>
      <c r="B4504" s="1200"/>
      <c r="C4504" s="1200"/>
      <c r="D4504" s="1200"/>
      <c r="E4504" s="1200"/>
      <c r="F4504" s="1200"/>
      <c r="G4504" s="1200"/>
      <c r="H4504" s="1200"/>
      <c r="I4504" s="1200"/>
      <c r="J4504" s="1200"/>
      <c r="K4504" s="1200"/>
      <c r="L4504" s="1201"/>
    </row>
    <row r="4505" spans="1:19" ht="30" customHeight="1" x14ac:dyDescent="0.35">
      <c r="A4505" s="388" t="s">
        <v>1</v>
      </c>
      <c r="B4505" s="389">
        <v>8814</v>
      </c>
      <c r="C4505" s="1205" t="s">
        <v>1935</v>
      </c>
      <c r="D4505" s="1206"/>
      <c r="E4505" s="392" t="s">
        <v>3</v>
      </c>
      <c r="F4505" s="393" t="s">
        <v>28</v>
      </c>
      <c r="G4505" s="390" t="s">
        <v>38</v>
      </c>
      <c r="H4505" s="132" t="s">
        <v>1930</v>
      </c>
      <c r="I4505" s="392" t="s">
        <v>5</v>
      </c>
      <c r="J4505" s="1207" t="s">
        <v>2819</v>
      </c>
      <c r="K4505" s="1207"/>
      <c r="L4505" s="1208"/>
      <c r="M4505" s="99"/>
      <c r="N4505" s="50"/>
      <c r="O4505" s="5"/>
      <c r="P4505" s="9"/>
      <c r="Q4505" s="34"/>
      <c r="R4505" s="5"/>
      <c r="S4505" s="35"/>
    </row>
    <row r="4506" spans="1:19" ht="30" customHeight="1" x14ac:dyDescent="0.35">
      <c r="A4506" s="185"/>
      <c r="B4506" s="1272" t="s">
        <v>7</v>
      </c>
      <c r="C4506" s="1272"/>
      <c r="D4506" s="1272"/>
      <c r="E4506" s="185" t="s">
        <v>52</v>
      </c>
      <c r="F4506" s="185" t="s">
        <v>53</v>
      </c>
      <c r="G4506" s="1219" t="s">
        <v>54</v>
      </c>
      <c r="H4506" s="1220"/>
      <c r="I4506" s="185" t="s">
        <v>55</v>
      </c>
      <c r="J4506" s="185" t="s">
        <v>56</v>
      </c>
      <c r="K4506" s="1209" t="s">
        <v>37</v>
      </c>
      <c r="L4506" s="1210"/>
      <c r="M4506" s="257"/>
      <c r="N4506" s="50"/>
      <c r="O4506" s="5"/>
      <c r="P4506" s="9"/>
      <c r="Q4506" s="34"/>
      <c r="R4506" s="5"/>
      <c r="S4506" s="35"/>
    </row>
    <row r="4507" spans="1:19" ht="30" customHeight="1" thickBot="1" x14ac:dyDescent="0.4">
      <c r="A4507" s="461"/>
      <c r="B4507" s="1592" t="s">
        <v>1904</v>
      </c>
      <c r="C4507" s="1592"/>
      <c r="D4507" s="1592"/>
      <c r="E4507" s="1163">
        <f>+K4425</f>
        <v>979.63420677488602</v>
      </c>
      <c r="F4507" s="463"/>
      <c r="G4507" s="1516"/>
      <c r="H4507" s="1517"/>
      <c r="I4507" s="463"/>
      <c r="J4507" s="464"/>
      <c r="K4507" s="465">
        <f>E4507</f>
        <v>979.63420677488602</v>
      </c>
      <c r="L4507" s="463" t="s">
        <v>28</v>
      </c>
      <c r="M4507" s="169"/>
      <c r="N4507" s="50"/>
      <c r="O4507" s="5"/>
      <c r="P4507" s="9"/>
      <c r="Q4507" s="34"/>
      <c r="R4507" s="5"/>
      <c r="S4507" s="35"/>
    </row>
    <row r="4508" spans="1:19" ht="30" customHeight="1" thickBot="1" x14ac:dyDescent="0.4">
      <c r="A4508" s="1429"/>
      <c r="B4508" s="1430"/>
      <c r="C4508" s="1430"/>
      <c r="D4508" s="1430"/>
      <c r="E4508" s="1430"/>
      <c r="F4508" s="1430"/>
      <c r="G4508" s="1430"/>
      <c r="H4508" s="1430"/>
      <c r="I4508" s="1430"/>
      <c r="J4508" s="1430"/>
      <c r="K4508" s="1430"/>
      <c r="L4508" s="1431"/>
      <c r="M4508" s="50"/>
      <c r="N4508" s="50"/>
      <c r="O4508" s="5"/>
      <c r="P4508" s="9"/>
      <c r="Q4508" s="34"/>
      <c r="R4508" s="5"/>
      <c r="S4508" s="35"/>
    </row>
    <row r="4509" spans="1:19" ht="30" customHeight="1" x14ac:dyDescent="0.35">
      <c r="A4509" s="1164" t="s">
        <v>1</v>
      </c>
      <c r="B4509" s="1165">
        <v>8821</v>
      </c>
      <c r="C4509" s="1440" t="s">
        <v>1936</v>
      </c>
      <c r="D4509" s="1441"/>
      <c r="E4509" s="1166" t="s">
        <v>3</v>
      </c>
      <c r="F4509" s="396" t="s">
        <v>40</v>
      </c>
      <c r="G4509" s="1167" t="s">
        <v>38</v>
      </c>
      <c r="H4509" s="256">
        <v>1</v>
      </c>
      <c r="I4509" s="466" t="s">
        <v>5</v>
      </c>
      <c r="J4509" s="1421" t="s">
        <v>2829</v>
      </c>
      <c r="K4509" s="1421"/>
      <c r="L4509" s="1422"/>
      <c r="M4509" s="99"/>
      <c r="N4509" s="50"/>
      <c r="O4509" s="5"/>
      <c r="P4509" s="9"/>
      <c r="Q4509" s="34"/>
      <c r="R4509" s="5"/>
      <c r="S4509" s="35"/>
    </row>
    <row r="4510" spans="1:19" ht="30" customHeight="1" x14ac:dyDescent="0.35">
      <c r="A4510" s="1168"/>
      <c r="B4510" s="1272" t="s">
        <v>7</v>
      </c>
      <c r="C4510" s="1272"/>
      <c r="D4510" s="1272"/>
      <c r="E4510" s="185" t="s">
        <v>52</v>
      </c>
      <c r="F4510" s="185" t="s">
        <v>53</v>
      </c>
      <c r="G4510" s="1219" t="s">
        <v>54</v>
      </c>
      <c r="H4510" s="1220"/>
      <c r="I4510" s="185" t="s">
        <v>55</v>
      </c>
      <c r="J4510" s="185" t="s">
        <v>56</v>
      </c>
      <c r="K4510" s="1209" t="s">
        <v>37</v>
      </c>
      <c r="L4510" s="1210"/>
      <c r="M4510" s="99"/>
      <c r="N4510" s="50"/>
    </row>
    <row r="4511" spans="1:19" ht="30" customHeight="1" thickBot="1" x14ac:dyDescent="0.4">
      <c r="A4511" s="620"/>
      <c r="B4511" s="1446" t="s">
        <v>1904</v>
      </c>
      <c r="C4511" s="1446"/>
      <c r="D4511" s="1446"/>
      <c r="E4511" s="713">
        <f>+K4425</f>
        <v>979.63420677488602</v>
      </c>
      <c r="F4511" s="188" t="s">
        <v>28</v>
      </c>
      <c r="G4511" s="1423">
        <v>500</v>
      </c>
      <c r="H4511" s="1424"/>
      <c r="I4511" s="188"/>
      <c r="J4511" s="470"/>
      <c r="K4511" s="471">
        <f>E4511*G4511</f>
        <v>489817.103387443</v>
      </c>
      <c r="L4511" s="188" t="s">
        <v>40</v>
      </c>
      <c r="N4511" s="50"/>
    </row>
    <row r="4512" spans="1:19" ht="30" customHeight="1" thickBot="1" x14ac:dyDescent="0.4">
      <c r="A4512" s="1429"/>
      <c r="B4512" s="1430"/>
      <c r="C4512" s="1430"/>
      <c r="D4512" s="1430"/>
      <c r="E4512" s="1430"/>
      <c r="F4512" s="1430"/>
      <c r="G4512" s="1430"/>
      <c r="H4512" s="1430"/>
      <c r="I4512" s="1430"/>
      <c r="J4512" s="1430"/>
      <c r="K4512" s="1430"/>
      <c r="L4512" s="1431"/>
      <c r="N4512" s="50"/>
    </row>
    <row r="4513" spans="1:13" ht="30" customHeight="1" x14ac:dyDescent="0.35">
      <c r="A4513" s="388" t="s">
        <v>1</v>
      </c>
      <c r="B4513" s="389">
        <v>8822</v>
      </c>
      <c r="C4513" s="1205" t="s">
        <v>1937</v>
      </c>
      <c r="D4513" s="1206"/>
      <c r="E4513" s="392" t="s">
        <v>3</v>
      </c>
      <c r="F4513" s="393" t="s">
        <v>28</v>
      </c>
      <c r="G4513" s="390" t="s">
        <v>38</v>
      </c>
      <c r="H4513" s="146">
        <v>1761</v>
      </c>
      <c r="I4513" s="392" t="s">
        <v>5</v>
      </c>
      <c r="J4513" s="1207" t="s">
        <v>2874</v>
      </c>
      <c r="K4513" s="1207"/>
      <c r="L4513" s="1208"/>
    </row>
    <row r="4514" spans="1:13" ht="30" customHeight="1" x14ac:dyDescent="0.35">
      <c r="A4514" s="494" t="s">
        <v>187</v>
      </c>
      <c r="B4514" s="1280" t="s">
        <v>211</v>
      </c>
      <c r="C4514" s="1281"/>
      <c r="D4514" s="1282"/>
      <c r="E4514" s="566" t="s">
        <v>52</v>
      </c>
      <c r="F4514" s="566" t="s">
        <v>53</v>
      </c>
      <c r="G4514" s="1219" t="s">
        <v>54</v>
      </c>
      <c r="H4514" s="1220"/>
      <c r="I4514" s="185" t="s">
        <v>188</v>
      </c>
      <c r="J4514" s="185"/>
      <c r="K4514" s="1209" t="s">
        <v>180</v>
      </c>
      <c r="L4514" s="1210"/>
    </row>
    <row r="4515" spans="1:13" ht="30" customHeight="1" x14ac:dyDescent="0.35">
      <c r="A4515" s="186" t="s">
        <v>347</v>
      </c>
      <c r="B4515" s="1212" t="s">
        <v>1905</v>
      </c>
      <c r="C4515" s="1213"/>
      <c r="D4515" s="1214"/>
      <c r="E4515" s="7">
        <f>+(6.94+9.75)/2</f>
        <v>8.3450000000000006</v>
      </c>
      <c r="F4515" s="422" t="s">
        <v>16</v>
      </c>
      <c r="G4515" s="707">
        <v>8.89</v>
      </c>
      <c r="H4515" s="708" t="s">
        <v>1906</v>
      </c>
      <c r="I4515" s="186">
        <v>1.01</v>
      </c>
      <c r="J4515" s="422"/>
      <c r="K4515" s="193">
        <f>+E4515*G4515*I4515</f>
        <v>74.928920500000018</v>
      </c>
      <c r="L4515" s="422" t="s">
        <v>28</v>
      </c>
    </row>
    <row r="4516" spans="1:13" ht="30" customHeight="1" x14ac:dyDescent="0.35">
      <c r="A4516" s="186" t="s">
        <v>347</v>
      </c>
      <c r="B4516" s="1212" t="s">
        <v>2685</v>
      </c>
      <c r="C4516" s="1213"/>
      <c r="D4516" s="1214"/>
      <c r="E4516" s="7">
        <v>24.55</v>
      </c>
      <c r="F4516" s="422" t="s">
        <v>16</v>
      </c>
      <c r="G4516" s="707">
        <v>8.89</v>
      </c>
      <c r="H4516" s="708" t="s">
        <v>1906</v>
      </c>
      <c r="I4516" s="186">
        <v>1.01</v>
      </c>
      <c r="J4516" s="422"/>
      <c r="K4516" s="193">
        <f>+E4516*G4516*I4516</f>
        <v>220.431995</v>
      </c>
      <c r="L4516" s="422" t="s">
        <v>28</v>
      </c>
    </row>
    <row r="4517" spans="1:13" ht="30" customHeight="1" x14ac:dyDescent="0.35">
      <c r="A4517" s="186" t="s">
        <v>347</v>
      </c>
      <c r="B4517" s="1202" t="s">
        <v>1907</v>
      </c>
      <c r="C4517" s="1203"/>
      <c r="D4517" s="1204"/>
      <c r="E4517" s="194">
        <f>+(14.1+24.2)/2</f>
        <v>19.149999999999999</v>
      </c>
      <c r="F4517" s="422" t="s">
        <v>4</v>
      </c>
      <c r="G4517" s="127">
        <v>1.44</v>
      </c>
      <c r="H4517" s="136" t="s">
        <v>415</v>
      </c>
      <c r="I4517" s="186">
        <v>1.01</v>
      </c>
      <c r="J4517" s="422"/>
      <c r="K4517" s="193">
        <f>+E4517*G4517*I4517</f>
        <v>27.851759999999999</v>
      </c>
      <c r="L4517" s="186" t="s">
        <v>28</v>
      </c>
    </row>
    <row r="4518" spans="1:13" ht="30" customHeight="1" x14ac:dyDescent="0.35">
      <c r="A4518" s="186" t="s">
        <v>347</v>
      </c>
      <c r="B4518" s="1202" t="s">
        <v>1908</v>
      </c>
      <c r="C4518" s="1203"/>
      <c r="D4518" s="1204"/>
      <c r="E4518" s="194">
        <f>+(112+159)/2</f>
        <v>135.5</v>
      </c>
      <c r="F4518" s="422" t="s">
        <v>4</v>
      </c>
      <c r="G4518" s="127">
        <v>1.44</v>
      </c>
      <c r="H4518" s="136" t="s">
        <v>415</v>
      </c>
      <c r="I4518" s="186">
        <v>1.01</v>
      </c>
      <c r="J4518" s="422"/>
      <c r="K4518" s="193">
        <f>+E4518*G4518*I4518</f>
        <v>197.0712</v>
      </c>
      <c r="L4518" s="422" t="s">
        <v>28</v>
      </c>
    </row>
    <row r="4519" spans="1:13" ht="30" customHeight="1" x14ac:dyDescent="0.35">
      <c r="A4519" s="271" t="s">
        <v>391</v>
      </c>
      <c r="B4519" s="1202" t="s">
        <v>2964</v>
      </c>
      <c r="C4519" s="1203"/>
      <c r="D4519" s="1204"/>
      <c r="E4519" s="279">
        <f>+(43+60.5)/2</f>
        <v>51.75</v>
      </c>
      <c r="F4519" s="422" t="s">
        <v>28</v>
      </c>
      <c r="G4519" s="764"/>
      <c r="H4519" s="765"/>
      <c r="I4519" s="186">
        <v>1.01</v>
      </c>
      <c r="J4519" s="422"/>
      <c r="K4519" s="193">
        <f>+E4519*I4519</f>
        <v>52.267499999999998</v>
      </c>
      <c r="L4519" s="422" t="s">
        <v>28</v>
      </c>
    </row>
    <row r="4520" spans="1:13" ht="30" customHeight="1" x14ac:dyDescent="0.35">
      <c r="A4520" s="186" t="s">
        <v>501</v>
      </c>
      <c r="B4520" s="1202" t="s">
        <v>1910</v>
      </c>
      <c r="C4520" s="1203"/>
      <c r="D4520" s="1204"/>
      <c r="E4520" s="194">
        <v>0.21</v>
      </c>
      <c r="F4520" s="422" t="s">
        <v>108</v>
      </c>
      <c r="G4520" s="127">
        <v>15</v>
      </c>
      <c r="H4520" s="136" t="s">
        <v>1875</v>
      </c>
      <c r="I4520" s="186">
        <v>1.07</v>
      </c>
      <c r="J4520" s="422"/>
      <c r="K4520" s="193">
        <f>+E4520*G4520*I4520</f>
        <v>3.3705000000000003</v>
      </c>
      <c r="L4520" s="422" t="s">
        <v>28</v>
      </c>
      <c r="M4520" s="50"/>
    </row>
    <row r="4521" spans="1:13" ht="30" customHeight="1" x14ac:dyDescent="0.35">
      <c r="A4521" s="790"/>
      <c r="B4521" s="1392" t="s">
        <v>2965</v>
      </c>
      <c r="C4521" s="1393"/>
      <c r="D4521" s="1322"/>
      <c r="E4521" s="194"/>
      <c r="F4521" s="186"/>
      <c r="G4521" s="186"/>
      <c r="H4521" s="186"/>
      <c r="I4521" s="186"/>
      <c r="J4521" s="186" t="s">
        <v>223</v>
      </c>
      <c r="K4521" s="194">
        <f>SUM(K4515:K4520)</f>
        <v>575.92187550000006</v>
      </c>
      <c r="L4521" s="422" t="s">
        <v>28</v>
      </c>
    </row>
    <row r="4522" spans="1:13" ht="30" customHeight="1" x14ac:dyDescent="0.35">
      <c r="A4522" s="186"/>
      <c r="B4522" s="1573"/>
      <c r="C4522" s="1574"/>
      <c r="D4522" s="1575"/>
      <c r="E4522" s="194"/>
      <c r="F4522" s="1215" t="s">
        <v>195</v>
      </c>
      <c r="G4522" s="1273" t="s">
        <v>196</v>
      </c>
      <c r="H4522" s="1273"/>
      <c r="I4522" s="1273"/>
      <c r="J4522" s="1273"/>
      <c r="K4522" s="196">
        <v>1.05</v>
      </c>
      <c r="L4522" s="186"/>
    </row>
    <row r="4523" spans="1:13" ht="30" customHeight="1" x14ac:dyDescent="0.35">
      <c r="A4523" s="186"/>
      <c r="B4523" s="567"/>
      <c r="C4523" s="567"/>
      <c r="D4523" s="567"/>
      <c r="E4523" s="194"/>
      <c r="F4523" s="1216"/>
      <c r="G4523" s="1268" t="s">
        <v>2477</v>
      </c>
      <c r="H4523" s="1268"/>
      <c r="I4523" s="1268"/>
      <c r="J4523" s="1268"/>
      <c r="K4523" s="196">
        <v>1.07</v>
      </c>
      <c r="L4523" s="186"/>
    </row>
    <row r="4524" spans="1:13" ht="30" customHeight="1" x14ac:dyDescent="0.35">
      <c r="A4524" s="186"/>
      <c r="B4524" s="186"/>
      <c r="C4524" s="503"/>
      <c r="D4524" s="503"/>
      <c r="E4524" s="503"/>
      <c r="F4524" s="503"/>
      <c r="G4524" s="186"/>
      <c r="H4524" s="503"/>
      <c r="I4524" s="503"/>
      <c r="J4524" s="186" t="s">
        <v>37</v>
      </c>
      <c r="K4524" s="193">
        <f>+K4521*K4522/K4523</f>
        <v>565.15698063084119</v>
      </c>
      <c r="L4524" s="186" t="s">
        <v>28</v>
      </c>
    </row>
    <row r="4525" spans="1:13" ht="30" customHeight="1" thickBot="1" x14ac:dyDescent="0.4">
      <c r="A4525" s="186"/>
      <c r="B4525" s="186"/>
      <c r="C4525" s="503"/>
      <c r="D4525" s="503"/>
      <c r="E4525" s="503"/>
      <c r="F4525" s="503"/>
      <c r="G4525" s="1366" t="s">
        <v>257</v>
      </c>
      <c r="H4525" s="1367"/>
      <c r="I4525" s="1368"/>
      <c r="J4525" s="560">
        <f>VLOOKUP(B4513,'Mil Cost Premiums for PUCs'!$A$4:$R$285,18,FALSE)</f>
        <v>1.0821211439999998</v>
      </c>
      <c r="K4525" s="193">
        <f>+K4524*J4525</f>
        <v>611.5683184198316</v>
      </c>
      <c r="L4525" s="186" t="s">
        <v>28</v>
      </c>
    </row>
    <row r="4526" spans="1:13" ht="30" customHeight="1" thickBot="1" x14ac:dyDescent="0.4">
      <c r="A4526" s="1199"/>
      <c r="B4526" s="1200"/>
      <c r="C4526" s="1200"/>
      <c r="D4526" s="1200"/>
      <c r="E4526" s="1200"/>
      <c r="F4526" s="1200"/>
      <c r="G4526" s="1200"/>
      <c r="H4526" s="1200"/>
      <c r="I4526" s="1200"/>
      <c r="J4526" s="1200"/>
      <c r="K4526" s="1200"/>
      <c r="L4526" s="1201"/>
    </row>
    <row r="4527" spans="1:13" ht="30" customHeight="1" x14ac:dyDescent="0.35">
      <c r="A4527" s="455" t="s">
        <v>1</v>
      </c>
      <c r="B4527" s="439">
        <v>8831</v>
      </c>
      <c r="C4527" s="1384" t="s">
        <v>1938</v>
      </c>
      <c r="D4527" s="1385"/>
      <c r="E4527" s="456" t="s">
        <v>3</v>
      </c>
      <c r="F4527" s="457" t="s">
        <v>40</v>
      </c>
      <c r="G4527" s="468" t="s">
        <v>38</v>
      </c>
      <c r="H4527" s="47" t="s">
        <v>1930</v>
      </c>
      <c r="I4527" s="456" t="s">
        <v>5</v>
      </c>
      <c r="J4527" s="1421" t="s">
        <v>2830</v>
      </c>
      <c r="K4527" s="1421"/>
      <c r="L4527" s="1422"/>
      <c r="M4527" s="99"/>
    </row>
    <row r="4528" spans="1:13" ht="30" customHeight="1" x14ac:dyDescent="0.35">
      <c r="A4528" s="507"/>
      <c r="B4528" s="1272" t="s">
        <v>7</v>
      </c>
      <c r="C4528" s="1272"/>
      <c r="D4528" s="1272"/>
      <c r="E4528" s="185" t="s">
        <v>52</v>
      </c>
      <c r="F4528" s="185" t="s">
        <v>53</v>
      </c>
      <c r="G4528" s="1219" t="s">
        <v>54</v>
      </c>
      <c r="H4528" s="1220"/>
      <c r="I4528" s="185" t="s">
        <v>55</v>
      </c>
      <c r="J4528" s="185" t="s">
        <v>56</v>
      </c>
      <c r="K4528" s="1209" t="s">
        <v>37</v>
      </c>
      <c r="L4528" s="1210"/>
      <c r="M4528" s="99"/>
    </row>
    <row r="4529" spans="1:21" ht="30" customHeight="1" thickBot="1" x14ac:dyDescent="0.4">
      <c r="B4529" s="1446" t="s">
        <v>1904</v>
      </c>
      <c r="C4529" s="1446"/>
      <c r="D4529" s="1446"/>
      <c r="E4529" s="713">
        <f>+K4425</f>
        <v>979.63420677488602</v>
      </c>
      <c r="F4529" s="188" t="s">
        <v>28</v>
      </c>
      <c r="G4529" s="1423">
        <v>400</v>
      </c>
      <c r="H4529" s="1424"/>
      <c r="I4529" s="188"/>
      <c r="J4529" s="470"/>
      <c r="K4529" s="471">
        <f>E4529*G4529</f>
        <v>391853.68270995439</v>
      </c>
      <c r="L4529" s="188" t="s">
        <v>40</v>
      </c>
      <c r="O4529" s="5"/>
      <c r="P4529" s="9"/>
      <c r="Q4529" s="34"/>
      <c r="R4529" s="5"/>
      <c r="S4529" s="35"/>
    </row>
    <row r="4530" spans="1:21" ht="30" customHeight="1" thickBot="1" x14ac:dyDescent="0.4">
      <c r="A4530" s="1199"/>
      <c r="B4530" s="1200"/>
      <c r="C4530" s="1200"/>
      <c r="D4530" s="1200"/>
      <c r="E4530" s="1200"/>
      <c r="F4530" s="1200"/>
      <c r="G4530" s="1200"/>
      <c r="H4530" s="1200"/>
      <c r="I4530" s="1200"/>
      <c r="J4530" s="1200"/>
      <c r="K4530" s="1200"/>
      <c r="L4530" s="1201"/>
      <c r="O4530" s="384"/>
      <c r="P4530" s="9"/>
      <c r="Q4530" s="34"/>
      <c r="R4530" s="5"/>
      <c r="S4530" s="35"/>
    </row>
    <row r="4531" spans="1:21" ht="30" customHeight="1" x14ac:dyDescent="0.35">
      <c r="A4531" s="388" t="s">
        <v>1</v>
      </c>
      <c r="B4531" s="389">
        <v>8840</v>
      </c>
      <c r="C4531" s="1205" t="s">
        <v>1939</v>
      </c>
      <c r="D4531" s="1206"/>
      <c r="E4531" s="392" t="s">
        <v>3</v>
      </c>
      <c r="F4531" s="393" t="s">
        <v>40</v>
      </c>
      <c r="G4531" s="520" t="s">
        <v>2</v>
      </c>
      <c r="H4531" s="132">
        <v>1</v>
      </c>
      <c r="I4531" s="392" t="s">
        <v>5</v>
      </c>
      <c r="J4531" s="1207" t="s">
        <v>2481</v>
      </c>
      <c r="K4531" s="1207"/>
      <c r="L4531" s="1208"/>
      <c r="M4531" s="50"/>
      <c r="O4531" s="384"/>
      <c r="P4531" s="9"/>
      <c r="Q4531" s="34"/>
      <c r="R4531" s="5"/>
      <c r="S4531" s="35"/>
    </row>
    <row r="4532" spans="1:21" ht="30" customHeight="1" x14ac:dyDescent="0.35">
      <c r="A4532" s="1034" t="s">
        <v>187</v>
      </c>
      <c r="B4532" s="1416" t="s">
        <v>211</v>
      </c>
      <c r="C4532" s="1417"/>
      <c r="D4532" s="1418"/>
      <c r="E4532" s="1035" t="s">
        <v>52</v>
      </c>
      <c r="F4532" s="1035" t="s">
        <v>53</v>
      </c>
      <c r="G4532" s="1419" t="s">
        <v>54</v>
      </c>
      <c r="H4532" s="1420"/>
      <c r="I4532" s="1221" t="s">
        <v>188</v>
      </c>
      <c r="J4532" s="1222"/>
      <c r="K4532" s="399" t="s">
        <v>180</v>
      </c>
      <c r="L4532" s="400"/>
    </row>
    <row r="4533" spans="1:21" ht="30" customHeight="1" x14ac:dyDescent="0.35">
      <c r="A4533" s="186" t="s">
        <v>1119</v>
      </c>
      <c r="B4533" s="1202" t="s">
        <v>1940</v>
      </c>
      <c r="C4533" s="1203"/>
      <c r="D4533" s="1204"/>
      <c r="E4533" s="194">
        <v>41</v>
      </c>
      <c r="F4533" s="186" t="s">
        <v>222</v>
      </c>
      <c r="G4533" s="127">
        <v>130</v>
      </c>
      <c r="H4533" s="194" t="s">
        <v>950</v>
      </c>
      <c r="I4533" s="1435">
        <v>1.31</v>
      </c>
      <c r="J4533" s="1436"/>
      <c r="K4533" s="212">
        <f>+E4533*G4533*I4533</f>
        <v>6982.3</v>
      </c>
      <c r="L4533" s="186" t="s">
        <v>40</v>
      </c>
      <c r="M4533" s="165"/>
    </row>
    <row r="4534" spans="1:21" ht="30" customHeight="1" x14ac:dyDescent="0.35">
      <c r="A4534" s="186"/>
      <c r="B4534" s="567"/>
      <c r="C4534" s="567"/>
      <c r="D4534" s="567"/>
      <c r="E4534" s="194"/>
      <c r="F4534" s="1215" t="s">
        <v>195</v>
      </c>
      <c r="G4534" s="1273" t="s">
        <v>196</v>
      </c>
      <c r="H4534" s="1273"/>
      <c r="I4534" s="1273"/>
      <c r="J4534" s="1273"/>
      <c r="K4534" s="196">
        <v>1.06</v>
      </c>
      <c r="L4534" s="186"/>
      <c r="M4534" s="165"/>
    </row>
    <row r="4535" spans="1:21" ht="30" customHeight="1" x14ac:dyDescent="0.35">
      <c r="A4535" s="186"/>
      <c r="B4535" s="567"/>
      <c r="C4535" s="567"/>
      <c r="D4535" s="567"/>
      <c r="E4535" s="194"/>
      <c r="F4535" s="1216"/>
      <c r="G4535" s="1268" t="s">
        <v>2477</v>
      </c>
      <c r="H4535" s="1268"/>
      <c r="I4535" s="1268"/>
      <c r="J4535" s="1268"/>
      <c r="K4535" s="196">
        <v>1.05</v>
      </c>
      <c r="L4535" s="186"/>
      <c r="P4535" s="9"/>
      <c r="Q4535" s="34"/>
      <c r="R4535" s="5"/>
      <c r="U4535" s="35"/>
    </row>
    <row r="4536" spans="1:21" ht="30" customHeight="1" x14ac:dyDescent="0.35">
      <c r="A4536" s="186"/>
      <c r="B4536" s="186"/>
      <c r="C4536" s="503"/>
      <c r="D4536" s="503"/>
      <c r="E4536" s="503"/>
      <c r="F4536" s="503"/>
      <c r="G4536" s="503"/>
      <c r="H4536" s="503"/>
      <c r="I4536" s="503"/>
      <c r="J4536" s="186" t="s">
        <v>37</v>
      </c>
      <c r="K4536" s="193">
        <f>+K4533*K4534/K4535</f>
        <v>7048.7980952380949</v>
      </c>
      <c r="L4536" s="186" t="s">
        <v>40</v>
      </c>
      <c r="O4536" s="5"/>
      <c r="P4536" s="9"/>
      <c r="Q4536" s="34"/>
      <c r="R4536" s="5"/>
      <c r="U4536" s="35"/>
    </row>
    <row r="4537" spans="1:21" ht="30" customHeight="1" x14ac:dyDescent="0.35">
      <c r="A4537" s="186"/>
      <c r="B4537" s="186"/>
      <c r="C4537" s="503"/>
      <c r="D4537" s="503"/>
      <c r="E4537" s="503"/>
      <c r="F4537" s="503"/>
      <c r="G4537" s="1198" t="s">
        <v>257</v>
      </c>
      <c r="H4537" s="1198"/>
      <c r="I4537" s="1198"/>
      <c r="J4537" s="560">
        <f>VLOOKUP(B4531,'Mil Cost Premiums for PUCs'!$A$4:$R$285,18,FALSE)</f>
        <v>1.0209999999999999</v>
      </c>
      <c r="K4537" s="193">
        <f>+K4536*J4537</f>
        <v>7196.8228552380942</v>
      </c>
      <c r="L4537" s="186" t="s">
        <v>40</v>
      </c>
      <c r="O4537" s="5"/>
      <c r="P4537" s="9"/>
      <c r="Q4537" s="34"/>
      <c r="R4537" s="5"/>
      <c r="U4537" s="35"/>
    </row>
    <row r="4538" spans="1:21" ht="30" customHeight="1" thickBot="1" x14ac:dyDescent="0.4">
      <c r="A4538" s="186"/>
      <c r="B4538" s="186"/>
      <c r="C4538" s="503"/>
      <c r="D4538" s="503"/>
      <c r="E4538" s="503"/>
      <c r="F4538" s="503"/>
      <c r="G4538" s="1309" t="s">
        <v>3000</v>
      </c>
      <c r="H4538" s="1310"/>
      <c r="I4538" s="1311"/>
      <c r="J4538" s="560">
        <v>1.0438745311870361</v>
      </c>
      <c r="K4538" s="193">
        <f>+K4537*J4538</f>
        <v>7512.5800840478123</v>
      </c>
      <c r="L4538" s="186" t="s">
        <v>40</v>
      </c>
      <c r="O4538" s="843"/>
      <c r="P4538" s="9"/>
      <c r="Q4538" s="34"/>
      <c r="R4538" s="5"/>
      <c r="U4538" s="35"/>
    </row>
    <row r="4539" spans="1:21" ht="30" customHeight="1" thickBot="1" x14ac:dyDescent="0.4">
      <c r="A4539" s="1199"/>
      <c r="B4539" s="1200"/>
      <c r="C4539" s="1200"/>
      <c r="D4539" s="1200"/>
      <c r="E4539" s="1200"/>
      <c r="F4539" s="1200"/>
      <c r="G4539" s="1200"/>
      <c r="H4539" s="1200"/>
      <c r="I4539" s="1200"/>
      <c r="J4539" s="1200"/>
      <c r="K4539" s="1200"/>
      <c r="L4539" s="1201"/>
      <c r="P4539" s="9"/>
      <c r="Q4539" s="34"/>
      <c r="R4539" s="5"/>
      <c r="U4539" s="35"/>
    </row>
    <row r="4540" spans="1:21" ht="30" customHeight="1" x14ac:dyDescent="0.35">
      <c r="A4540" s="1029" t="s">
        <v>1</v>
      </c>
      <c r="B4540" s="1030">
        <v>8910</v>
      </c>
      <c r="C4540" s="1426" t="s">
        <v>1941</v>
      </c>
      <c r="D4540" s="1427"/>
      <c r="E4540" s="1031" t="s">
        <v>3</v>
      </c>
      <c r="F4540" s="1051" t="s">
        <v>108</v>
      </c>
      <c r="G4540" s="390" t="s">
        <v>38</v>
      </c>
      <c r="H4540" s="1033">
        <v>2078.1996834226702</v>
      </c>
      <c r="I4540" s="1031" t="s">
        <v>5</v>
      </c>
      <c r="J4540" s="1207" t="s">
        <v>2481</v>
      </c>
      <c r="K4540" s="1207"/>
      <c r="L4540" s="1208"/>
      <c r="O4540" s="5"/>
      <c r="P4540" s="9"/>
      <c r="Q4540" s="34"/>
      <c r="R4540" s="5"/>
      <c r="U4540" s="35"/>
    </row>
    <row r="4541" spans="1:21" ht="30" customHeight="1" x14ac:dyDescent="0.35">
      <c r="A4541" s="1034" t="s">
        <v>187</v>
      </c>
      <c r="B4541" s="1416" t="s">
        <v>211</v>
      </c>
      <c r="C4541" s="1417"/>
      <c r="D4541" s="1418"/>
      <c r="E4541" s="1035" t="s">
        <v>52</v>
      </c>
      <c r="F4541" s="1035" t="s">
        <v>53</v>
      </c>
      <c r="G4541" s="1419" t="s">
        <v>54</v>
      </c>
      <c r="H4541" s="1420"/>
      <c r="I4541" s="185" t="s">
        <v>188</v>
      </c>
      <c r="J4541" s="185" t="s">
        <v>179</v>
      </c>
      <c r="K4541" s="399" t="s">
        <v>180</v>
      </c>
      <c r="L4541" s="400"/>
      <c r="O4541" s="5"/>
      <c r="P4541" s="9"/>
      <c r="Q4541" s="34"/>
      <c r="R4541" s="5"/>
      <c r="U4541" s="35"/>
    </row>
    <row r="4542" spans="1:21" ht="30" customHeight="1" x14ac:dyDescent="0.35">
      <c r="A4542" s="1041" t="s">
        <v>1334</v>
      </c>
      <c r="B4542" s="1447" t="s">
        <v>2687</v>
      </c>
      <c r="C4542" s="1448"/>
      <c r="D4542" s="1449"/>
      <c r="E4542" s="1066">
        <v>61.5</v>
      </c>
      <c r="F4542" s="1038" t="s">
        <v>108</v>
      </c>
      <c r="G4542" s="1067"/>
      <c r="H4542" s="1040"/>
      <c r="I4542" s="1041">
        <v>1.05</v>
      </c>
      <c r="J4542" s="1022">
        <f>+'FY2024 MILCON Inflation Table'!F14</f>
        <v>1.4139446884504483</v>
      </c>
      <c r="K4542" s="1049">
        <f>+E4542*I4542*J4542</f>
        <v>91.305478256687707</v>
      </c>
      <c r="L4542" s="1038" t="s">
        <v>108</v>
      </c>
      <c r="O4542" s="843"/>
      <c r="P4542" s="9"/>
      <c r="Q4542" s="34"/>
      <c r="R4542" s="5"/>
      <c r="U4542" s="35"/>
    </row>
    <row r="4543" spans="1:21" ht="30" customHeight="1" x14ac:dyDescent="0.35">
      <c r="A4543" s="1169" t="s">
        <v>249</v>
      </c>
      <c r="B4543" s="1450" t="s">
        <v>1942</v>
      </c>
      <c r="C4543" s="1451"/>
      <c r="D4543" s="1452"/>
      <c r="E4543" s="1170">
        <v>6.79</v>
      </c>
      <c r="F4543" s="1038" t="s">
        <v>108</v>
      </c>
      <c r="G4543" s="1068"/>
      <c r="H4543" s="1069"/>
      <c r="I4543" s="1041">
        <v>1.1200000000000001</v>
      </c>
      <c r="J4543" s="1038"/>
      <c r="K4543" s="1049">
        <f>+E4543*I4543</f>
        <v>7.6048000000000009</v>
      </c>
      <c r="L4543" s="1038" t="s">
        <v>108</v>
      </c>
    </row>
    <row r="4544" spans="1:21" ht="30" customHeight="1" x14ac:dyDescent="0.35">
      <c r="A4544" s="897" t="s">
        <v>249</v>
      </c>
      <c r="B4544" s="1425" t="s">
        <v>844</v>
      </c>
      <c r="C4544" s="1425"/>
      <c r="D4544" s="1425"/>
      <c r="E4544" s="181">
        <f>0.15*E4543</f>
        <v>1.0185</v>
      </c>
      <c r="F4544" s="1040" t="s">
        <v>108</v>
      </c>
      <c r="G4544" s="1068"/>
      <c r="H4544" s="1069"/>
      <c r="I4544" s="1041">
        <v>1.1200000000000001</v>
      </c>
      <c r="J4544" s="1046"/>
      <c r="K4544" s="1049">
        <f>+E4544*I4544</f>
        <v>1.14072</v>
      </c>
      <c r="L4544" s="1038" t="s">
        <v>108</v>
      </c>
    </row>
    <row r="4545" spans="1:13" ht="30" customHeight="1" x14ac:dyDescent="0.35">
      <c r="A4545" s="897" t="s">
        <v>249</v>
      </c>
      <c r="B4545" s="1425" t="s">
        <v>845</v>
      </c>
      <c r="C4545" s="1425"/>
      <c r="D4545" s="1425"/>
      <c r="E4545" s="181">
        <f xml:space="preserve"> 0.72+((1.42+2.11)/2)</f>
        <v>2.4849999999999999</v>
      </c>
      <c r="F4545" s="1040" t="s">
        <v>108</v>
      </c>
      <c r="G4545" s="1068"/>
      <c r="H4545" s="1069"/>
      <c r="I4545" s="1041">
        <v>1.1200000000000001</v>
      </c>
      <c r="J4545" s="1046"/>
      <c r="K4545" s="1049">
        <f>+E4545*I4545</f>
        <v>2.7832000000000003</v>
      </c>
      <c r="L4545" s="1038" t="s">
        <v>108</v>
      </c>
    </row>
    <row r="4546" spans="1:13" ht="30" customHeight="1" x14ac:dyDescent="0.35">
      <c r="A4546" s="186" t="s">
        <v>333</v>
      </c>
      <c r="B4546" s="1212" t="s">
        <v>1052</v>
      </c>
      <c r="C4546" s="1213"/>
      <c r="D4546" s="1214"/>
      <c r="E4546" s="194">
        <v>162000</v>
      </c>
      <c r="F4546" s="186" t="s">
        <v>40</v>
      </c>
      <c r="G4546" s="875">
        <f>+H4540</f>
        <v>2078.1996834226702</v>
      </c>
      <c r="H4546" s="534" t="s">
        <v>933</v>
      </c>
      <c r="I4546" s="186">
        <v>1.26</v>
      </c>
      <c r="J4546" s="278"/>
      <c r="K4546" s="194">
        <f>+E4546/G4546*I4546</f>
        <v>98.2196280887824</v>
      </c>
      <c r="L4546" s="186" t="s">
        <v>108</v>
      </c>
      <c r="M4546" s="50"/>
    </row>
    <row r="4547" spans="1:13" ht="30" customHeight="1" x14ac:dyDescent="0.35">
      <c r="A4547" s="186" t="s">
        <v>333</v>
      </c>
      <c r="B4547" s="1212" t="s">
        <v>2688</v>
      </c>
      <c r="C4547" s="1213"/>
      <c r="D4547" s="1214"/>
      <c r="E4547" s="194">
        <f>+(281+307)/2</f>
        <v>294</v>
      </c>
      <c r="F4547" s="127" t="s">
        <v>28</v>
      </c>
      <c r="G4547" s="560">
        <f>75/H4540</f>
        <v>3.6088928604049969E-2</v>
      </c>
      <c r="H4547" s="534" t="s">
        <v>1054</v>
      </c>
      <c r="I4547" s="186">
        <v>1.26</v>
      </c>
      <c r="J4547" s="278"/>
      <c r="K4547" s="194">
        <f>+E4547*G4547*I4547</f>
        <v>13.36878271208427</v>
      </c>
      <c r="L4547" s="186" t="s">
        <v>108</v>
      </c>
      <c r="M4547" s="50"/>
    </row>
    <row r="4548" spans="1:13" ht="30" customHeight="1" x14ac:dyDescent="0.35">
      <c r="A4548" s="186" t="s">
        <v>333</v>
      </c>
      <c r="B4548" s="1212" t="s">
        <v>335</v>
      </c>
      <c r="C4548" s="1213"/>
      <c r="D4548" s="1214"/>
      <c r="E4548" s="194">
        <f>+(27.25+55)/2</f>
        <v>41.125</v>
      </c>
      <c r="F4548" s="127" t="s">
        <v>28</v>
      </c>
      <c r="G4548" s="560">
        <f>150/H4540</f>
        <v>7.2177857208099938E-2</v>
      </c>
      <c r="H4548" s="534" t="s">
        <v>1054</v>
      </c>
      <c r="I4548" s="186">
        <v>1.26</v>
      </c>
      <c r="J4548" s="278"/>
      <c r="K4548" s="194">
        <f>+E4548*G4548*I4548</f>
        <v>3.7400761158807185</v>
      </c>
      <c r="L4548" s="186" t="s">
        <v>108</v>
      </c>
      <c r="M4548" s="50"/>
    </row>
    <row r="4549" spans="1:13" ht="30" customHeight="1" x14ac:dyDescent="0.35">
      <c r="A4549" s="186" t="s">
        <v>268</v>
      </c>
      <c r="B4549" s="1212" t="s">
        <v>2689</v>
      </c>
      <c r="C4549" s="1213"/>
      <c r="D4549" s="1214"/>
      <c r="E4549" s="194">
        <f>(24+37.25)/2</f>
        <v>30.625</v>
      </c>
      <c r="F4549" s="127" t="s">
        <v>108</v>
      </c>
      <c r="G4549" s="117">
        <v>120</v>
      </c>
      <c r="H4549" s="554" t="s">
        <v>275</v>
      </c>
      <c r="I4549" s="186">
        <v>1.22</v>
      </c>
      <c r="J4549" s="278"/>
      <c r="K4549" s="7">
        <f>+E4549*G4549/H4540*I4549</f>
        <v>2.1573961519501075</v>
      </c>
      <c r="L4549" s="186" t="s">
        <v>108</v>
      </c>
      <c r="M4549" s="50"/>
    </row>
    <row r="4550" spans="1:13" ht="30" customHeight="1" x14ac:dyDescent="0.35">
      <c r="A4550" s="186" t="s">
        <v>268</v>
      </c>
      <c r="B4550" s="1212" t="s">
        <v>2690</v>
      </c>
      <c r="C4550" s="1213"/>
      <c r="D4550" s="1214"/>
      <c r="E4550" s="194">
        <f>(2020+2850)/2</f>
        <v>2435</v>
      </c>
      <c r="F4550" s="127" t="s">
        <v>40</v>
      </c>
      <c r="G4550" s="117"/>
      <c r="H4550" s="554"/>
      <c r="I4550" s="186">
        <v>1.22</v>
      </c>
      <c r="J4550" s="186"/>
      <c r="K4550" s="7">
        <f>+E4550/H4540*I4550</f>
        <v>1.4294584027206831</v>
      </c>
      <c r="L4550" s="186" t="s">
        <v>108</v>
      </c>
      <c r="M4550" s="50"/>
    </row>
    <row r="4551" spans="1:13" ht="30" customHeight="1" x14ac:dyDescent="0.35">
      <c r="A4551" s="186" t="s">
        <v>271</v>
      </c>
      <c r="B4551" s="1212" t="s">
        <v>2486</v>
      </c>
      <c r="C4551" s="1213"/>
      <c r="D4551" s="1214"/>
      <c r="E4551" s="194">
        <v>72.38</v>
      </c>
      <c r="F4551" s="127" t="s">
        <v>28</v>
      </c>
      <c r="G4551" s="117">
        <f>10</f>
        <v>10</v>
      </c>
      <c r="H4551" s="554" t="s">
        <v>965</v>
      </c>
      <c r="I4551" s="186">
        <v>1.1200000000000001</v>
      </c>
      <c r="J4551" s="186"/>
      <c r="K4551" s="7">
        <f>+E4551*G4551/H4540*I4551</f>
        <v>0.39007608675259647</v>
      </c>
      <c r="L4551" s="186" t="s">
        <v>108</v>
      </c>
      <c r="M4551" s="50"/>
    </row>
    <row r="4552" spans="1:13" ht="30" customHeight="1" x14ac:dyDescent="0.35">
      <c r="A4552" s="897"/>
      <c r="B4552" s="901"/>
      <c r="C4552" s="901"/>
      <c r="D4552" s="901"/>
      <c r="E4552" s="901"/>
      <c r="F4552" s="1069"/>
      <c r="G4552" s="1041"/>
      <c r="H4552" s="1041"/>
      <c r="I4552" s="1041"/>
      <c r="J4552" s="1041" t="s">
        <v>223</v>
      </c>
      <c r="K4552" s="1037">
        <f>SUM(K4542:K4551)</f>
        <v>222.1396158148585</v>
      </c>
      <c r="L4552" s="1041" t="s">
        <v>108</v>
      </c>
    </row>
    <row r="4553" spans="1:13" ht="30" customHeight="1" x14ac:dyDescent="0.35">
      <c r="A4553" s="897"/>
      <c r="B4553" s="901"/>
      <c r="C4553" s="901"/>
      <c r="D4553" s="901"/>
      <c r="E4553" s="901"/>
      <c r="F4553" s="1444" t="s">
        <v>195</v>
      </c>
      <c r="G4553" s="1273" t="s">
        <v>196</v>
      </c>
      <c r="H4553" s="1273"/>
      <c r="I4553" s="1273"/>
      <c r="J4553" s="1273"/>
      <c r="K4553" s="196">
        <v>1.06</v>
      </c>
      <c r="L4553" s="186"/>
    </row>
    <row r="4554" spans="1:13" ht="30" customHeight="1" x14ac:dyDescent="0.35">
      <c r="A4554" s="897"/>
      <c r="B4554" s="908"/>
      <c r="C4554" s="908"/>
      <c r="D4554" s="908"/>
      <c r="E4554" s="180"/>
      <c r="F4554" s="1445"/>
      <c r="G4554" s="1268" t="s">
        <v>2477</v>
      </c>
      <c r="H4554" s="1268"/>
      <c r="I4554" s="1268"/>
      <c r="J4554" s="1268"/>
      <c r="K4554" s="196">
        <v>1.05</v>
      </c>
      <c r="L4554" s="186"/>
    </row>
    <row r="4555" spans="1:13" ht="30" customHeight="1" x14ac:dyDescent="0.35">
      <c r="A4555" s="1038"/>
      <c r="B4555" s="1038"/>
      <c r="C4555" s="1171"/>
      <c r="D4555" s="1171"/>
      <c r="E4555" s="1171"/>
      <c r="F4555" s="1048"/>
      <c r="G4555" s="1048"/>
      <c r="H4555" s="1048"/>
      <c r="I4555" s="1048"/>
      <c r="J4555" s="1041" t="s">
        <v>37</v>
      </c>
      <c r="K4555" s="1049">
        <f>+K4552*K4553/K4554</f>
        <v>224.25523120357144</v>
      </c>
      <c r="L4555" s="1041" t="s">
        <v>108</v>
      </c>
    </row>
    <row r="4556" spans="1:13" ht="30" customHeight="1" x14ac:dyDescent="0.35">
      <c r="A4556" s="1041"/>
      <c r="B4556" s="1041"/>
      <c r="C4556" s="1048"/>
      <c r="D4556" s="1048"/>
      <c r="E4556" s="1048"/>
      <c r="F4556" s="1048"/>
      <c r="G4556" s="1796" t="s">
        <v>257</v>
      </c>
      <c r="H4556" s="1796"/>
      <c r="I4556" s="1796"/>
      <c r="J4556" s="560">
        <f>VLOOKUP(B4540,'Mil Cost Premiums for PUCs'!$A$4:$R$285,18,FALSE)</f>
        <v>1.1323590634842093</v>
      </c>
      <c r="K4556" s="1049">
        <f>+K4555*J4556</f>
        <v>253.93744358711101</v>
      </c>
      <c r="L4556" s="1041" t="s">
        <v>108</v>
      </c>
    </row>
    <row r="4557" spans="1:13" ht="30" customHeight="1" thickBot="1" x14ac:dyDescent="0.4">
      <c r="A4557" s="1041"/>
      <c r="B4557" s="1041"/>
      <c r="C4557" s="1048"/>
      <c r="D4557" s="1048"/>
      <c r="E4557" s="1048"/>
      <c r="F4557" s="1048"/>
      <c r="G4557" s="1432" t="s">
        <v>3000</v>
      </c>
      <c r="H4557" s="1433"/>
      <c r="I4557" s="1434"/>
      <c r="J4557" s="560">
        <v>1.0438745311870361</v>
      </c>
      <c r="K4557" s="1049">
        <f>+K4556*J4557</f>
        <v>265.07882987532992</v>
      </c>
      <c r="L4557" s="1041" t="s">
        <v>108</v>
      </c>
    </row>
    <row r="4558" spans="1:13" ht="30" customHeight="1" thickBot="1" x14ac:dyDescent="0.4">
      <c r="A4558" s="1199"/>
      <c r="B4558" s="1200"/>
      <c r="C4558" s="1200"/>
      <c r="D4558" s="1200"/>
      <c r="E4558" s="1200"/>
      <c r="F4558" s="1200"/>
      <c r="G4558" s="1200"/>
      <c r="H4558" s="1200"/>
      <c r="I4558" s="1200"/>
      <c r="J4558" s="1200"/>
      <c r="K4558" s="1200"/>
      <c r="L4558" s="1201"/>
    </row>
    <row r="4559" spans="1:13" ht="30" customHeight="1" x14ac:dyDescent="0.35">
      <c r="A4559" s="388" t="s">
        <v>1</v>
      </c>
      <c r="B4559" s="389">
        <v>8921</v>
      </c>
      <c r="C4559" s="1205" t="s">
        <v>1943</v>
      </c>
      <c r="D4559" s="1206"/>
      <c r="E4559" s="392" t="s">
        <v>3</v>
      </c>
      <c r="F4559" s="393" t="s">
        <v>40</v>
      </c>
      <c r="G4559" s="520" t="s">
        <v>2</v>
      </c>
      <c r="H4559" s="132">
        <v>1</v>
      </c>
      <c r="I4559" s="392" t="s">
        <v>5</v>
      </c>
      <c r="J4559" s="1207" t="s">
        <v>390</v>
      </c>
      <c r="K4559" s="1207"/>
      <c r="L4559" s="1208"/>
    </row>
    <row r="4560" spans="1:13" ht="30" customHeight="1" x14ac:dyDescent="0.35">
      <c r="A4560" s="494" t="s">
        <v>187</v>
      </c>
      <c r="B4560" s="1280" t="s">
        <v>211</v>
      </c>
      <c r="C4560" s="1281"/>
      <c r="D4560" s="1282"/>
      <c r="E4560" s="566" t="s">
        <v>52</v>
      </c>
      <c r="F4560" s="566" t="s">
        <v>53</v>
      </c>
      <c r="G4560" s="1219" t="s">
        <v>54</v>
      </c>
      <c r="H4560" s="1220"/>
      <c r="I4560" s="185" t="s">
        <v>188</v>
      </c>
      <c r="J4560" s="185"/>
      <c r="K4560" s="1209" t="s">
        <v>180</v>
      </c>
      <c r="L4560" s="1210"/>
    </row>
    <row r="4561" spans="1:13" ht="30" customHeight="1" x14ac:dyDescent="0.35">
      <c r="A4561" s="186" t="s">
        <v>212</v>
      </c>
      <c r="B4561" s="1212" t="s">
        <v>1944</v>
      </c>
      <c r="C4561" s="1213"/>
      <c r="D4561" s="1214"/>
      <c r="E4561" s="7">
        <v>95</v>
      </c>
      <c r="F4561" s="422" t="s">
        <v>108</v>
      </c>
      <c r="G4561" s="834">
        <v>1105</v>
      </c>
      <c r="H4561" s="708" t="s">
        <v>214</v>
      </c>
      <c r="I4561" s="186">
        <v>1.05</v>
      </c>
      <c r="J4561" s="186"/>
      <c r="K4561" s="7">
        <f>+E4561*G4561*I4561</f>
        <v>110223.75</v>
      </c>
      <c r="L4561" s="422" t="s">
        <v>40</v>
      </c>
    </row>
    <row r="4562" spans="1:13" ht="30" customHeight="1" x14ac:dyDescent="0.35">
      <c r="A4562" s="985" t="s">
        <v>274</v>
      </c>
      <c r="B4562" s="1212" t="s">
        <v>1945</v>
      </c>
      <c r="C4562" s="1213"/>
      <c r="D4562" s="1214"/>
      <c r="E4562" s="7">
        <v>23.55</v>
      </c>
      <c r="F4562" s="422" t="s">
        <v>108</v>
      </c>
      <c r="G4562" s="834">
        <v>1105</v>
      </c>
      <c r="H4562" s="708" t="s">
        <v>214</v>
      </c>
      <c r="I4562" s="186">
        <v>1.05</v>
      </c>
      <c r="J4562" s="186"/>
      <c r="K4562" s="733">
        <f>+E4562*G4562*I4562</f>
        <v>27323.887500000001</v>
      </c>
      <c r="L4562" s="422" t="s">
        <v>40</v>
      </c>
      <c r="M4562" s="10"/>
    </row>
    <row r="4563" spans="1:13" ht="30" customHeight="1" x14ac:dyDescent="0.35">
      <c r="A4563" s="985" t="s">
        <v>1230</v>
      </c>
      <c r="B4563" s="1212" t="s">
        <v>1946</v>
      </c>
      <c r="C4563" s="1213"/>
      <c r="D4563" s="1214"/>
      <c r="E4563" s="7">
        <f>+(10000+11900)/2</f>
        <v>10950</v>
      </c>
      <c r="F4563" s="422" t="s">
        <v>40</v>
      </c>
      <c r="G4563" s="1003"/>
      <c r="H4563" s="708"/>
      <c r="I4563" s="204">
        <v>1.06</v>
      </c>
      <c r="J4563" s="186"/>
      <c r="K4563" s="733">
        <f>+E4563*I4563</f>
        <v>11607</v>
      </c>
      <c r="L4563" s="422" t="s">
        <v>40</v>
      </c>
      <c r="M4563" s="10"/>
    </row>
    <row r="4564" spans="1:13" ht="30" customHeight="1" x14ac:dyDescent="0.35">
      <c r="A4564" s="985" t="s">
        <v>242</v>
      </c>
      <c r="B4564" s="1212" t="s">
        <v>1947</v>
      </c>
      <c r="C4564" s="1213"/>
      <c r="D4564" s="1214"/>
      <c r="E4564" s="7">
        <v>125000</v>
      </c>
      <c r="F4564" s="422" t="s">
        <v>40</v>
      </c>
      <c r="G4564" s="1003"/>
      <c r="H4564" s="708"/>
      <c r="I4564" s="204">
        <v>1</v>
      </c>
      <c r="J4564" s="186"/>
      <c r="K4564" s="733">
        <f>+E4564*I4564</f>
        <v>125000</v>
      </c>
      <c r="L4564" s="422" t="s">
        <v>40</v>
      </c>
    </row>
    <row r="4565" spans="1:13" ht="30" customHeight="1" x14ac:dyDescent="0.35">
      <c r="A4565" s="790"/>
      <c r="B4565" s="1202" t="s">
        <v>1948</v>
      </c>
      <c r="C4565" s="1203"/>
      <c r="D4565" s="1204"/>
      <c r="E4565" s="194"/>
      <c r="F4565" s="186"/>
      <c r="G4565" s="186"/>
      <c r="H4565" s="186"/>
      <c r="I4565" s="186"/>
      <c r="J4565" s="186" t="s">
        <v>251</v>
      </c>
      <c r="K4565" s="194">
        <f>SUM(K4561:K4564)</f>
        <v>274154.63750000001</v>
      </c>
      <c r="L4565" s="186" t="s">
        <v>40</v>
      </c>
    </row>
    <row r="4566" spans="1:13" ht="30" customHeight="1" x14ac:dyDescent="0.35">
      <c r="A4566" s="186"/>
      <c r="B4566" s="567"/>
      <c r="C4566" s="567"/>
      <c r="D4566" s="567"/>
      <c r="E4566" s="194"/>
      <c r="F4566" s="1215" t="s">
        <v>195</v>
      </c>
      <c r="G4566" s="1273" t="s">
        <v>196</v>
      </c>
      <c r="H4566" s="1273"/>
      <c r="I4566" s="1273"/>
      <c r="J4566" s="1273"/>
      <c r="K4566" s="196">
        <v>1.07</v>
      </c>
      <c r="L4566" s="186"/>
    </row>
    <row r="4567" spans="1:13" ht="30" customHeight="1" x14ac:dyDescent="0.35">
      <c r="A4567" s="186"/>
      <c r="B4567" s="567"/>
      <c r="C4567" s="567"/>
      <c r="D4567" s="567"/>
      <c r="E4567" s="194"/>
      <c r="F4567" s="1216"/>
      <c r="G4567" s="1268" t="s">
        <v>276</v>
      </c>
      <c r="H4567" s="1268"/>
      <c r="I4567" s="1268"/>
      <c r="J4567" s="1268"/>
      <c r="K4567" s="196">
        <v>1.08</v>
      </c>
      <c r="L4567" s="186"/>
    </row>
    <row r="4568" spans="1:13" ht="30" customHeight="1" x14ac:dyDescent="0.35">
      <c r="A4568" s="186"/>
      <c r="B4568" s="186"/>
      <c r="C4568" s="503"/>
      <c r="D4568" s="503"/>
      <c r="E4568" s="503"/>
      <c r="F4568" s="503"/>
      <c r="G4568" s="503"/>
      <c r="H4568" s="503"/>
      <c r="I4568" s="503"/>
      <c r="J4568" s="186" t="s">
        <v>37</v>
      </c>
      <c r="K4568" s="193">
        <f>+K4565*K4566/K4567</f>
        <v>271616.16863425926</v>
      </c>
      <c r="L4568" s="186" t="s">
        <v>40</v>
      </c>
    </row>
    <row r="4569" spans="1:13" ht="30" customHeight="1" x14ac:dyDescent="0.35">
      <c r="A4569" s="186"/>
      <c r="B4569" s="186"/>
      <c r="C4569" s="503"/>
      <c r="D4569" s="503"/>
      <c r="E4569" s="503"/>
      <c r="F4569" s="503"/>
      <c r="G4569" s="1374" t="s">
        <v>257</v>
      </c>
      <c r="H4569" s="1375"/>
      <c r="I4569" s="1376"/>
      <c r="J4569" s="560">
        <f>VLOOKUP(B4559,'Mil Cost Premiums for PUCs'!$A$4:$R$285,18,FALSE)</f>
        <v>1.1199953840399997</v>
      </c>
      <c r="K4569" s="193">
        <f>+K4568*J4569</f>
        <v>304208.85510100052</v>
      </c>
      <c r="L4569" s="186" t="s">
        <v>40</v>
      </c>
    </row>
    <row r="4570" spans="1:13" ht="30" customHeight="1" x14ac:dyDescent="0.35">
      <c r="A4570" s="904"/>
      <c r="B4570" s="904"/>
      <c r="C4570" s="905"/>
      <c r="D4570" s="905"/>
      <c r="E4570" s="905"/>
      <c r="F4570" s="1415" t="s">
        <v>277</v>
      </c>
      <c r="G4570" s="1415"/>
      <c r="H4570" s="1415"/>
      <c r="I4570" s="1415"/>
      <c r="J4570" s="1086">
        <v>1.0833999999999999</v>
      </c>
      <c r="K4570" s="1162">
        <f>K4569*J4570</f>
        <v>329579.87361642392</v>
      </c>
      <c r="L4570" s="186" t="s">
        <v>40</v>
      </c>
    </row>
    <row r="4571" spans="1:13" ht="30" customHeight="1" x14ac:dyDescent="0.35">
      <c r="A4571" s="569"/>
      <c r="B4571" s="569"/>
      <c r="C4571" s="510"/>
      <c r="D4571" s="510"/>
      <c r="E4571" s="510"/>
      <c r="F4571" s="510"/>
      <c r="G4571" s="1737" t="s">
        <v>2817</v>
      </c>
      <c r="H4571" s="1738"/>
      <c r="I4571" s="1739"/>
      <c r="J4571" s="570">
        <v>1.1214</v>
      </c>
      <c r="K4571" s="285">
        <f>+K4570*J4571</f>
        <v>369590.87027345778</v>
      </c>
      <c r="L4571" s="186" t="s">
        <v>40</v>
      </c>
      <c r="M4571" s="50"/>
    </row>
    <row r="4572" spans="1:13" ht="30" customHeight="1" thickBot="1" x14ac:dyDescent="0.4">
      <c r="A4572" s="569"/>
      <c r="B4572" s="569"/>
      <c r="C4572" s="510"/>
      <c r="D4572" s="510"/>
      <c r="E4572" s="510"/>
      <c r="F4572" s="510"/>
      <c r="G4572" s="1191" t="s">
        <v>3000</v>
      </c>
      <c r="H4572" s="1192"/>
      <c r="I4572" s="1193"/>
      <c r="J4572" s="570">
        <v>1.0438745311870361</v>
      </c>
      <c r="K4572" s="285">
        <f>+K4571*J4572</f>
        <v>385806.49643771444</v>
      </c>
      <c r="L4572" s="186" t="s">
        <v>40</v>
      </c>
      <c r="M4572" s="50"/>
    </row>
    <row r="4573" spans="1:13" ht="30" customHeight="1" thickBot="1" x14ac:dyDescent="0.4">
      <c r="A4573" s="1199"/>
      <c r="B4573" s="1200"/>
      <c r="C4573" s="1200"/>
      <c r="D4573" s="1200"/>
      <c r="E4573" s="1200"/>
      <c r="F4573" s="1200"/>
      <c r="G4573" s="1200"/>
      <c r="H4573" s="1200"/>
      <c r="I4573" s="1200"/>
      <c r="J4573" s="1200"/>
      <c r="K4573" s="1200"/>
      <c r="L4573" s="1201"/>
    </row>
    <row r="4574" spans="1:13" ht="30" customHeight="1" x14ac:dyDescent="0.35">
      <c r="A4574" s="388" t="s">
        <v>1</v>
      </c>
      <c r="B4574" s="389">
        <v>8922</v>
      </c>
      <c r="C4574" s="1205" t="s">
        <v>1949</v>
      </c>
      <c r="D4574" s="1206"/>
      <c r="E4574" s="392" t="s">
        <v>3</v>
      </c>
      <c r="F4574" s="393" t="s">
        <v>40</v>
      </c>
      <c r="G4574" s="520" t="s">
        <v>2</v>
      </c>
      <c r="H4574" s="132">
        <v>1</v>
      </c>
      <c r="I4574" s="392" t="s">
        <v>5</v>
      </c>
      <c r="J4574" s="1207" t="s">
        <v>186</v>
      </c>
      <c r="K4574" s="1207"/>
      <c r="L4574" s="1208"/>
    </row>
    <row r="4575" spans="1:13" ht="30" customHeight="1" x14ac:dyDescent="0.35">
      <c r="A4575" s="494" t="s">
        <v>187</v>
      </c>
      <c r="B4575" s="1280" t="s">
        <v>211</v>
      </c>
      <c r="C4575" s="1281"/>
      <c r="D4575" s="1282"/>
      <c r="E4575" s="566" t="s">
        <v>52</v>
      </c>
      <c r="F4575" s="566" t="s">
        <v>53</v>
      </c>
      <c r="G4575" s="1219" t="s">
        <v>54</v>
      </c>
      <c r="H4575" s="1220"/>
      <c r="I4575" s="185" t="s">
        <v>188</v>
      </c>
      <c r="J4575" s="185"/>
      <c r="K4575" s="1209" t="s">
        <v>180</v>
      </c>
      <c r="L4575" s="1210"/>
    </row>
    <row r="4576" spans="1:13" ht="30" customHeight="1" x14ac:dyDescent="0.35">
      <c r="A4576" s="186" t="s">
        <v>242</v>
      </c>
      <c r="B4576" s="1212" t="s">
        <v>1950</v>
      </c>
      <c r="C4576" s="1213"/>
      <c r="D4576" s="1214"/>
      <c r="E4576" s="7">
        <v>85750</v>
      </c>
      <c r="F4576" s="422"/>
      <c r="G4576" s="19"/>
      <c r="H4576" s="708"/>
      <c r="I4576" s="204">
        <v>1.19</v>
      </c>
      <c r="J4576" s="422"/>
      <c r="K4576" s="193">
        <f>+E4576*I4576</f>
        <v>102042.5</v>
      </c>
      <c r="L4576" s="422" t="s">
        <v>40</v>
      </c>
    </row>
    <row r="4577" spans="1:13" ht="30" customHeight="1" x14ac:dyDescent="0.35">
      <c r="A4577" s="186"/>
      <c r="B4577" s="567"/>
      <c r="C4577" s="567"/>
      <c r="D4577" s="567"/>
      <c r="E4577" s="194"/>
      <c r="F4577" s="1215" t="s">
        <v>195</v>
      </c>
      <c r="G4577" s="1273" t="s">
        <v>196</v>
      </c>
      <c r="H4577" s="1273"/>
      <c r="I4577" s="1273"/>
      <c r="J4577" s="1273"/>
      <c r="K4577" s="196">
        <v>1.06</v>
      </c>
      <c r="L4577" s="186"/>
    </row>
    <row r="4578" spans="1:13" ht="30" customHeight="1" x14ac:dyDescent="0.35">
      <c r="A4578" s="186"/>
      <c r="B4578" s="567"/>
      <c r="C4578" s="567"/>
      <c r="D4578" s="567"/>
      <c r="E4578" s="194"/>
      <c r="F4578" s="1216"/>
      <c r="G4578" s="1268" t="s">
        <v>197</v>
      </c>
      <c r="H4578" s="1268"/>
      <c r="I4578" s="1268"/>
      <c r="J4578" s="1268"/>
      <c r="K4578" s="196">
        <v>1.06</v>
      </c>
      <c r="L4578" s="186"/>
    </row>
    <row r="4579" spans="1:13" ht="30" customHeight="1" x14ac:dyDescent="0.35">
      <c r="A4579" s="790"/>
      <c r="B4579" s="117"/>
      <c r="C4579" s="711"/>
      <c r="D4579" s="712"/>
      <c r="E4579" s="194"/>
      <c r="F4579" s="422"/>
      <c r="G4579" s="127"/>
      <c r="H4579" s="136"/>
      <c r="I4579" s="186"/>
      <c r="J4579" s="186" t="s">
        <v>37</v>
      </c>
      <c r="K4579" s="193">
        <f>+K4576*K4577/K4578</f>
        <v>102042.5</v>
      </c>
      <c r="L4579" s="186" t="s">
        <v>40</v>
      </c>
    </row>
    <row r="4580" spans="1:13" ht="30" customHeight="1" x14ac:dyDescent="0.35">
      <c r="A4580" s="186"/>
      <c r="B4580" s="186"/>
      <c r="C4580" s="503"/>
      <c r="D4580" s="503"/>
      <c r="E4580" s="503"/>
      <c r="F4580" s="503"/>
      <c r="G4580" s="1374" t="s">
        <v>257</v>
      </c>
      <c r="H4580" s="1375"/>
      <c r="I4580" s="1376"/>
      <c r="J4580" s="560">
        <f>VLOOKUP(B4574,'Mil Cost Premiums for PUCs'!$A$4:$R$285,18,FALSE)</f>
        <v>1.0209999999999999</v>
      </c>
      <c r="K4580" s="193">
        <f>+K4579*J4580</f>
        <v>104185.39249999999</v>
      </c>
      <c r="L4580" s="186" t="s">
        <v>40</v>
      </c>
    </row>
    <row r="4581" spans="1:13" ht="30" customHeight="1" x14ac:dyDescent="0.35">
      <c r="A4581" s="569"/>
      <c r="B4581" s="569"/>
      <c r="C4581" s="510"/>
      <c r="D4581" s="510"/>
      <c r="E4581" s="510"/>
      <c r="F4581" s="510"/>
      <c r="G4581" s="1191" t="s">
        <v>2817</v>
      </c>
      <c r="H4581" s="1192"/>
      <c r="I4581" s="1193"/>
      <c r="J4581" s="570">
        <v>1.1214</v>
      </c>
      <c r="K4581" s="285">
        <f>+K4580*J4581</f>
        <v>116833.49914949998</v>
      </c>
      <c r="L4581" s="186" t="s">
        <v>40</v>
      </c>
      <c r="M4581" s="50"/>
    </row>
    <row r="4582" spans="1:13" ht="30" customHeight="1" thickBot="1" x14ac:dyDescent="0.4">
      <c r="A4582" s="569"/>
      <c r="B4582" s="569"/>
      <c r="C4582" s="510"/>
      <c r="D4582" s="510"/>
      <c r="E4582" s="510"/>
      <c r="F4582" s="510"/>
      <c r="G4582" s="1191" t="s">
        <v>3000</v>
      </c>
      <c r="H4582" s="1192"/>
      <c r="I4582" s="1193"/>
      <c r="J4582" s="570">
        <v>1.0438745311870361</v>
      </c>
      <c r="K4582" s="285">
        <f>+K4581*J4582</f>
        <v>121959.51415162528</v>
      </c>
      <c r="L4582" s="186" t="s">
        <v>40</v>
      </c>
      <c r="M4582" s="50"/>
    </row>
    <row r="4583" spans="1:13" ht="30" customHeight="1" thickBot="1" x14ac:dyDescent="0.4">
      <c r="A4583" s="1199"/>
      <c r="B4583" s="1200"/>
      <c r="C4583" s="1200"/>
      <c r="D4583" s="1200"/>
      <c r="E4583" s="1200"/>
      <c r="F4583" s="1200"/>
      <c r="G4583" s="1200"/>
      <c r="H4583" s="1200"/>
      <c r="I4583" s="1200"/>
      <c r="J4583" s="1200"/>
      <c r="K4583" s="1200"/>
      <c r="L4583" s="1201"/>
    </row>
    <row r="4584" spans="1:13" ht="30" customHeight="1" x14ac:dyDescent="0.35">
      <c r="A4584" s="388" t="s">
        <v>1</v>
      </c>
      <c r="B4584" s="389">
        <v>8923</v>
      </c>
      <c r="C4584" s="1205" t="s">
        <v>1951</v>
      </c>
      <c r="D4584" s="1206"/>
      <c r="E4584" s="392" t="s">
        <v>3</v>
      </c>
      <c r="F4584" s="393" t="s">
        <v>40</v>
      </c>
      <c r="G4584" s="520" t="s">
        <v>2</v>
      </c>
      <c r="H4584" s="132">
        <v>1</v>
      </c>
      <c r="I4584" s="392" t="s">
        <v>5</v>
      </c>
      <c r="J4584" s="1207" t="s">
        <v>2874</v>
      </c>
      <c r="K4584" s="1207"/>
      <c r="L4584" s="1208"/>
    </row>
    <row r="4585" spans="1:13" ht="30" customHeight="1" x14ac:dyDescent="0.35">
      <c r="A4585" s="494" t="s">
        <v>187</v>
      </c>
      <c r="B4585" s="1280" t="s">
        <v>211</v>
      </c>
      <c r="C4585" s="1281"/>
      <c r="D4585" s="1282"/>
      <c r="E4585" s="566" t="s">
        <v>52</v>
      </c>
      <c r="F4585" s="566" t="s">
        <v>53</v>
      </c>
      <c r="G4585" s="1219" t="s">
        <v>54</v>
      </c>
      <c r="H4585" s="1220"/>
      <c r="I4585" s="185" t="s">
        <v>188</v>
      </c>
      <c r="J4585" s="185"/>
      <c r="K4585" s="1209" t="s">
        <v>180</v>
      </c>
      <c r="L4585" s="1210"/>
    </row>
    <row r="4586" spans="1:13" ht="30" customHeight="1" x14ac:dyDescent="0.35">
      <c r="A4586" s="186" t="s">
        <v>1869</v>
      </c>
      <c r="B4586" s="1212" t="s">
        <v>1952</v>
      </c>
      <c r="C4586" s="1213"/>
      <c r="D4586" s="1214"/>
      <c r="E4586" s="7">
        <v>75250</v>
      </c>
      <c r="F4586" s="422" t="s">
        <v>40</v>
      </c>
      <c r="G4586" s="19"/>
      <c r="H4586" s="708"/>
      <c r="I4586" s="186">
        <v>1.03</v>
      </c>
      <c r="J4586" s="422"/>
      <c r="K4586" s="193">
        <f>+E4586*I4586</f>
        <v>77507.5</v>
      </c>
      <c r="L4586" s="422" t="s">
        <v>40</v>
      </c>
    </row>
    <row r="4587" spans="1:13" ht="30" customHeight="1" x14ac:dyDescent="0.35">
      <c r="A4587" s="186"/>
      <c r="B4587" s="567"/>
      <c r="C4587" s="567"/>
      <c r="D4587" s="567"/>
      <c r="E4587" s="194"/>
      <c r="F4587" s="1215" t="s">
        <v>195</v>
      </c>
      <c r="G4587" s="1273" t="s">
        <v>196</v>
      </c>
      <c r="H4587" s="1273"/>
      <c r="I4587" s="1273"/>
      <c r="J4587" s="1273"/>
      <c r="K4587" s="196">
        <v>1.05</v>
      </c>
      <c r="L4587" s="186"/>
    </row>
    <row r="4588" spans="1:13" ht="30" customHeight="1" x14ac:dyDescent="0.35">
      <c r="A4588" s="186"/>
      <c r="B4588" s="567"/>
      <c r="C4588" s="567"/>
      <c r="D4588" s="567"/>
      <c r="E4588" s="194"/>
      <c r="F4588" s="1216"/>
      <c r="G4588" s="1268" t="s">
        <v>2875</v>
      </c>
      <c r="H4588" s="1268"/>
      <c r="I4588" s="1268"/>
      <c r="J4588" s="1268"/>
      <c r="K4588" s="196">
        <v>1.07</v>
      </c>
      <c r="L4588" s="186"/>
    </row>
    <row r="4589" spans="1:13" ht="30" customHeight="1" x14ac:dyDescent="0.35">
      <c r="A4589" s="790"/>
      <c r="B4589" s="117"/>
      <c r="C4589" s="711"/>
      <c r="D4589" s="712"/>
      <c r="E4589" s="194"/>
      <c r="F4589" s="422"/>
      <c r="G4589" s="127"/>
      <c r="H4589" s="136"/>
      <c r="I4589" s="186"/>
      <c r="J4589" s="186" t="s">
        <v>37</v>
      </c>
      <c r="K4589" s="193">
        <f>+K4586*K4587/K4588</f>
        <v>76058.761682242985</v>
      </c>
      <c r="L4589" s="186" t="s">
        <v>40</v>
      </c>
    </row>
    <row r="4590" spans="1:13" ht="30" customHeight="1" thickBot="1" x14ac:dyDescent="0.4">
      <c r="A4590" s="186"/>
      <c r="B4590" s="186"/>
      <c r="C4590" s="503"/>
      <c r="D4590" s="503"/>
      <c r="E4590" s="503"/>
      <c r="F4590" s="503"/>
      <c r="G4590" s="1194" t="s">
        <v>257</v>
      </c>
      <c r="H4590" s="1195"/>
      <c r="I4590" s="1196"/>
      <c r="J4590" s="560">
        <f>VLOOKUP(B4584,'Mil Cost Premiums for PUCs'!$A$4:$R$285,18,FALSE)</f>
        <v>1.0240629999999997</v>
      </c>
      <c r="K4590" s="193">
        <f>+K4589*J4590</f>
        <v>77888.963664602779</v>
      </c>
      <c r="L4590" s="186" t="s">
        <v>40</v>
      </c>
    </row>
    <row r="4591" spans="1:13" ht="30" customHeight="1" thickBot="1" x14ac:dyDescent="0.4">
      <c r="A4591" s="1199"/>
      <c r="B4591" s="1200"/>
      <c r="C4591" s="1200"/>
      <c r="D4591" s="1200"/>
      <c r="E4591" s="1200"/>
      <c r="F4591" s="1200"/>
      <c r="G4591" s="1200"/>
      <c r="H4591" s="1200"/>
      <c r="I4591" s="1200"/>
      <c r="J4591" s="1200"/>
      <c r="K4591" s="1200"/>
      <c r="L4591" s="1201"/>
    </row>
    <row r="4592" spans="1:13" ht="30" customHeight="1" x14ac:dyDescent="0.35">
      <c r="A4592" s="388" t="s">
        <v>1</v>
      </c>
      <c r="B4592" s="389">
        <v>8924</v>
      </c>
      <c r="C4592" s="453" t="s">
        <v>1953</v>
      </c>
      <c r="D4592" s="562"/>
      <c r="E4592" s="392" t="s">
        <v>3</v>
      </c>
      <c r="F4592" s="393" t="s">
        <v>40</v>
      </c>
      <c r="G4592" s="520" t="s">
        <v>2</v>
      </c>
      <c r="H4592" s="132">
        <v>1</v>
      </c>
      <c r="I4592" s="392" t="s">
        <v>5</v>
      </c>
      <c r="J4592" s="1207" t="s">
        <v>2538</v>
      </c>
      <c r="K4592" s="1207"/>
      <c r="L4592" s="1208"/>
    </row>
    <row r="4593" spans="1:13" ht="30" customHeight="1" x14ac:dyDescent="0.35">
      <c r="A4593" s="246" t="s">
        <v>177</v>
      </c>
      <c r="B4593" s="1248" t="s">
        <v>7</v>
      </c>
      <c r="C4593" s="1248"/>
      <c r="D4593" s="1248"/>
      <c r="E4593" s="446" t="s">
        <v>52</v>
      </c>
      <c r="F4593" s="566" t="s">
        <v>53</v>
      </c>
      <c r="G4593" s="1294" t="s">
        <v>54</v>
      </c>
      <c r="H4593" s="1294"/>
      <c r="I4593" s="1399" t="s">
        <v>179</v>
      </c>
      <c r="J4593" s="1399"/>
      <c r="K4593" s="1294" t="s">
        <v>180</v>
      </c>
      <c r="L4593" s="1428"/>
      <c r="M4593" s="50"/>
    </row>
    <row r="4594" spans="1:13" ht="30" customHeight="1" x14ac:dyDescent="0.35">
      <c r="A4594" s="415">
        <v>83150</v>
      </c>
      <c r="B4594" s="1251" t="s">
        <v>2643</v>
      </c>
      <c r="C4594" s="1251"/>
      <c r="D4594" s="1251"/>
      <c r="E4594" s="194">
        <v>11706.94</v>
      </c>
      <c r="F4594" s="319" t="s">
        <v>40</v>
      </c>
      <c r="G4594" s="1172"/>
      <c r="H4594" s="638"/>
      <c r="I4594" s="1365">
        <f>+'FY2024 MILCON Inflation Table'!F22</f>
        <v>0.95834826759383673</v>
      </c>
      <c r="J4594" s="1365"/>
      <c r="K4594" s="297">
        <f>E4594*I4594</f>
        <v>11219.325667824991</v>
      </c>
      <c r="L4594" s="975" t="s">
        <v>108</v>
      </c>
      <c r="M4594" s="50"/>
    </row>
    <row r="4595" spans="1:13" ht="30" customHeight="1" x14ac:dyDescent="0.35">
      <c r="A4595" s="186">
        <v>83210</v>
      </c>
      <c r="B4595" s="1212" t="s">
        <v>2644</v>
      </c>
      <c r="C4595" s="1213"/>
      <c r="D4595" s="1214"/>
      <c r="E4595" s="194">
        <v>16278.11</v>
      </c>
      <c r="F4595" s="186" t="s">
        <v>40</v>
      </c>
      <c r="G4595" s="127"/>
      <c r="H4595" s="712"/>
      <c r="I4595" s="1365">
        <f>+I4594</f>
        <v>0.95834826759383673</v>
      </c>
      <c r="J4595" s="1365"/>
      <c r="K4595" s="297">
        <f>E4595*I4595</f>
        <v>15600.09851820191</v>
      </c>
      <c r="L4595" s="186" t="s">
        <v>40</v>
      </c>
    </row>
    <row r="4596" spans="1:13" ht="30" customHeight="1" x14ac:dyDescent="0.35">
      <c r="A4596" s="186"/>
      <c r="B4596" s="186"/>
      <c r="C4596" s="503"/>
      <c r="D4596" s="503"/>
      <c r="E4596" s="503"/>
      <c r="F4596" s="503"/>
      <c r="G4596" s="503"/>
      <c r="H4596" s="503"/>
      <c r="I4596" s="503"/>
      <c r="J4596" s="186" t="s">
        <v>223</v>
      </c>
      <c r="K4596" s="193">
        <f>SUM(K4595:K4595)</f>
        <v>15600.09851820191</v>
      </c>
      <c r="L4596" s="186" t="s">
        <v>40</v>
      </c>
    </row>
    <row r="4597" spans="1:13" ht="30" customHeight="1" thickBot="1" x14ac:dyDescent="0.4">
      <c r="A4597" s="186"/>
      <c r="B4597" s="186"/>
      <c r="C4597" s="503"/>
      <c r="D4597" s="503"/>
      <c r="E4597" s="503"/>
      <c r="F4597" s="503"/>
      <c r="G4597" s="503"/>
      <c r="H4597" s="503"/>
      <c r="I4597" s="503"/>
      <c r="J4597" s="494" t="s">
        <v>37</v>
      </c>
      <c r="K4597" s="193">
        <f>+K4596</f>
        <v>15600.09851820191</v>
      </c>
      <c r="L4597" s="186" t="s">
        <v>40</v>
      </c>
    </row>
    <row r="4598" spans="1:13" ht="30" customHeight="1" thickBot="1" x14ac:dyDescent="0.4">
      <c r="A4598" s="1459"/>
      <c r="B4598" s="1460"/>
      <c r="C4598" s="1460"/>
      <c r="D4598" s="1460"/>
      <c r="E4598" s="1460"/>
      <c r="F4598" s="1460"/>
      <c r="G4598" s="1460"/>
      <c r="H4598" s="1460"/>
      <c r="I4598" s="1460"/>
      <c r="J4598" s="1460"/>
      <c r="K4598" s="1460"/>
      <c r="L4598" s="1461"/>
    </row>
    <row r="4599" spans="1:13" ht="30" customHeight="1" x14ac:dyDescent="0.35">
      <c r="A4599" s="970" t="s">
        <v>1</v>
      </c>
      <c r="B4599" s="971">
        <v>8926</v>
      </c>
      <c r="C4599" s="1443" t="s">
        <v>1955</v>
      </c>
      <c r="D4599" s="1443"/>
      <c r="E4599" s="413" t="s">
        <v>3</v>
      </c>
      <c r="F4599" s="972" t="s">
        <v>40</v>
      </c>
      <c r="G4599" s="1173" t="s">
        <v>2</v>
      </c>
      <c r="H4599" s="303">
        <v>1</v>
      </c>
      <c r="I4599" s="413" t="s">
        <v>5</v>
      </c>
      <c r="J4599" s="1207" t="s">
        <v>2538</v>
      </c>
      <c r="K4599" s="1207"/>
      <c r="L4599" s="1208"/>
      <c r="M4599" s="98"/>
    </row>
    <row r="4600" spans="1:13" ht="30" customHeight="1" x14ac:dyDescent="0.35">
      <c r="A4600" s="246" t="s">
        <v>177</v>
      </c>
      <c r="B4600" s="1248" t="s">
        <v>7</v>
      </c>
      <c r="C4600" s="1248"/>
      <c r="D4600" s="1248"/>
      <c r="E4600" s="446" t="s">
        <v>52</v>
      </c>
      <c r="F4600" s="446" t="s">
        <v>178</v>
      </c>
      <c r="G4600" s="1294" t="s">
        <v>54</v>
      </c>
      <c r="H4600" s="1294"/>
      <c r="I4600" s="1399" t="s">
        <v>179</v>
      </c>
      <c r="J4600" s="1399"/>
      <c r="K4600" s="1294" t="s">
        <v>180</v>
      </c>
      <c r="L4600" s="1428"/>
      <c r="M4600" s="50"/>
    </row>
    <row r="4601" spans="1:13" ht="30" customHeight="1" x14ac:dyDescent="0.35">
      <c r="A4601" s="415">
        <v>44135</v>
      </c>
      <c r="B4601" s="1251" t="s">
        <v>2569</v>
      </c>
      <c r="C4601" s="1251"/>
      <c r="D4601" s="1251"/>
      <c r="E4601" s="364">
        <v>617</v>
      </c>
      <c r="F4601" s="319">
        <v>447</v>
      </c>
      <c r="G4601" s="1172">
        <v>4104</v>
      </c>
      <c r="H4601" s="638" t="s">
        <v>214</v>
      </c>
      <c r="I4601" s="1365">
        <f>+'FY2024 MILCON Inflation Table'!F22</f>
        <v>0.95834826759383673</v>
      </c>
      <c r="J4601" s="1365"/>
      <c r="K4601" s="297">
        <f>+E4601*G4601*I4601</f>
        <v>2426698.8160565505</v>
      </c>
      <c r="L4601" s="975" t="s">
        <v>108</v>
      </c>
      <c r="M4601" s="50"/>
    </row>
    <row r="4602" spans="1:13" ht="30" customHeight="1" thickBot="1" x14ac:dyDescent="0.4">
      <c r="A4602" s="1174"/>
      <c r="B4602" s="1442" t="s">
        <v>2570</v>
      </c>
      <c r="C4602" s="1442"/>
      <c r="D4602" s="1442"/>
      <c r="E4602" s="978"/>
      <c r="F4602" s="978"/>
      <c r="G4602" s="978"/>
      <c r="H4602" s="978"/>
      <c r="I4602" s="417"/>
      <c r="J4602" s="3" t="s">
        <v>37</v>
      </c>
      <c r="K4602" s="304">
        <f>+K4601</f>
        <v>2426698.8160565505</v>
      </c>
      <c r="L4602" s="1175" t="s">
        <v>40</v>
      </c>
    </row>
    <row r="4603" spans="1:13" ht="30" customHeight="1" thickBot="1" x14ac:dyDescent="0.4">
      <c r="A4603" s="1453"/>
      <c r="B4603" s="1454"/>
      <c r="C4603" s="1454"/>
      <c r="D4603" s="1454"/>
      <c r="E4603" s="1454"/>
      <c r="F4603" s="1454"/>
      <c r="G4603" s="1454"/>
      <c r="H4603" s="1454"/>
      <c r="I4603" s="1454"/>
      <c r="J4603" s="1454"/>
      <c r="K4603" s="1454"/>
      <c r="L4603" s="1455"/>
    </row>
    <row r="4604" spans="1:13" ht="30" customHeight="1" x14ac:dyDescent="0.35">
      <c r="A4604" s="388" t="s">
        <v>1</v>
      </c>
      <c r="B4604" s="389">
        <v>8927</v>
      </c>
      <c r="C4604" s="1205" t="s">
        <v>1956</v>
      </c>
      <c r="D4604" s="1206"/>
      <c r="E4604" s="392" t="s">
        <v>3</v>
      </c>
      <c r="F4604" s="393" t="s">
        <v>40</v>
      </c>
      <c r="G4604" s="520" t="s">
        <v>2</v>
      </c>
      <c r="H4604" s="132">
        <v>1</v>
      </c>
      <c r="I4604" s="392" t="s">
        <v>5</v>
      </c>
      <c r="J4604" s="1207" t="s">
        <v>2874</v>
      </c>
      <c r="K4604" s="1207"/>
      <c r="L4604" s="1208"/>
    </row>
    <row r="4605" spans="1:13" ht="30" customHeight="1" x14ac:dyDescent="0.35">
      <c r="A4605" s="494" t="s">
        <v>187</v>
      </c>
      <c r="B4605" s="1280" t="s">
        <v>211</v>
      </c>
      <c r="C4605" s="1281"/>
      <c r="D4605" s="1282"/>
      <c r="E4605" s="566" t="s">
        <v>52</v>
      </c>
      <c r="F4605" s="566" t="s">
        <v>53</v>
      </c>
      <c r="G4605" s="1219" t="s">
        <v>54</v>
      </c>
      <c r="H4605" s="1220"/>
      <c r="I4605" s="185" t="s">
        <v>188</v>
      </c>
      <c r="J4605" s="185"/>
      <c r="K4605" s="1209" t="s">
        <v>180</v>
      </c>
      <c r="L4605" s="1210"/>
    </row>
    <row r="4606" spans="1:13" ht="30" customHeight="1" x14ac:dyDescent="0.35">
      <c r="A4606" s="186" t="s">
        <v>347</v>
      </c>
      <c r="B4606" s="1212" t="s">
        <v>2692</v>
      </c>
      <c r="C4606" s="1213"/>
      <c r="D4606" s="1214"/>
      <c r="E4606" s="733">
        <v>44.25</v>
      </c>
      <c r="F4606" s="422" t="s">
        <v>349</v>
      </c>
      <c r="G4606" s="707">
        <v>720</v>
      </c>
      <c r="H4606" s="708" t="s">
        <v>1954</v>
      </c>
      <c r="I4606" s="186">
        <v>1.01</v>
      </c>
      <c r="J4606" s="186"/>
      <c r="K4606" s="787">
        <f>+E4606*G4606*I4606</f>
        <v>32178.6</v>
      </c>
      <c r="L4606" s="422" t="s">
        <v>40</v>
      </c>
    </row>
    <row r="4607" spans="1:13" ht="30" customHeight="1" x14ac:dyDescent="0.35">
      <c r="A4607" s="186"/>
      <c r="B4607" s="1202" t="s">
        <v>2691</v>
      </c>
      <c r="C4607" s="1203"/>
      <c r="D4607" s="1204"/>
      <c r="E4607" s="7"/>
      <c r="F4607" s="422"/>
      <c r="G4607" s="707"/>
      <c r="H4607" s="708"/>
      <c r="I4607" s="186"/>
      <c r="J4607" s="186"/>
      <c r="K4607" s="787"/>
      <c r="L4607" s="422"/>
    </row>
    <row r="4608" spans="1:13" ht="30" customHeight="1" x14ac:dyDescent="0.35">
      <c r="A4608" s="503"/>
      <c r="B4608" s="1211"/>
      <c r="C4608" s="1211"/>
      <c r="D4608" s="1211"/>
      <c r="E4608" s="194"/>
      <c r="F4608" s="186"/>
      <c r="G4608" s="186"/>
      <c r="H4608" s="186"/>
      <c r="I4608" s="186"/>
      <c r="J4608" s="186" t="s">
        <v>223</v>
      </c>
      <c r="K4608" s="205">
        <f>SUM(K4606:K4607)</f>
        <v>32178.6</v>
      </c>
      <c r="L4608" s="186" t="s">
        <v>40</v>
      </c>
    </row>
    <row r="4609" spans="1:13" ht="30" customHeight="1" x14ac:dyDescent="0.35">
      <c r="A4609" s="186"/>
      <c r="B4609" s="567"/>
      <c r="C4609" s="567"/>
      <c r="D4609" s="567"/>
      <c r="E4609" s="194"/>
      <c r="F4609" s="1215" t="s">
        <v>195</v>
      </c>
      <c r="G4609" s="1273" t="s">
        <v>196</v>
      </c>
      <c r="H4609" s="1273"/>
      <c r="I4609" s="1273"/>
      <c r="J4609" s="1273"/>
      <c r="K4609" s="196">
        <v>1.05</v>
      </c>
      <c r="L4609" s="186"/>
    </row>
    <row r="4610" spans="1:13" ht="30" customHeight="1" x14ac:dyDescent="0.35">
      <c r="A4610" s="186"/>
      <c r="B4610" s="567"/>
      <c r="C4610" s="567"/>
      <c r="D4610" s="567"/>
      <c r="E4610" s="194"/>
      <c r="F4610" s="1216"/>
      <c r="G4610" s="1268" t="s">
        <v>2875</v>
      </c>
      <c r="H4610" s="1268"/>
      <c r="I4610" s="1268"/>
      <c r="J4610" s="1268"/>
      <c r="K4610" s="196">
        <v>1.07</v>
      </c>
      <c r="L4610" s="186"/>
    </row>
    <row r="4611" spans="1:13" ht="30" customHeight="1" x14ac:dyDescent="0.35">
      <c r="A4611" s="503"/>
      <c r="B4611" s="186"/>
      <c r="C4611" s="503"/>
      <c r="D4611" s="503"/>
      <c r="E4611" s="503"/>
      <c r="F4611" s="503"/>
      <c r="G4611" s="503"/>
      <c r="H4611" s="503"/>
      <c r="I4611" s="503"/>
      <c r="J4611" s="186" t="s">
        <v>37</v>
      </c>
      <c r="K4611" s="193">
        <f>+K4608*K4609/K4610</f>
        <v>31577.130841121492</v>
      </c>
      <c r="L4611" s="186" t="s">
        <v>40</v>
      </c>
    </row>
    <row r="4612" spans="1:13" ht="30" customHeight="1" thickBot="1" x14ac:dyDescent="0.4">
      <c r="A4612" s="186"/>
      <c r="B4612" s="186"/>
      <c r="C4612" s="503"/>
      <c r="D4612" s="503"/>
      <c r="E4612" s="503"/>
      <c r="F4612" s="503"/>
      <c r="G4612" s="1366" t="s">
        <v>257</v>
      </c>
      <c r="H4612" s="1367"/>
      <c r="I4612" s="1368"/>
      <c r="J4612" s="560">
        <f>VLOOKUP(B4604,'Mil Cost Premiums for PUCs'!$A$4:$R$285,18,FALSE)</f>
        <v>1.0209999999999999</v>
      </c>
      <c r="K4612" s="193">
        <f>+K4611*J4612</f>
        <v>32240.250588785042</v>
      </c>
      <c r="L4612" s="186" t="s">
        <v>40</v>
      </c>
    </row>
    <row r="4613" spans="1:13" ht="30" customHeight="1" thickBot="1" x14ac:dyDescent="0.4">
      <c r="A4613" s="1199"/>
      <c r="B4613" s="1200"/>
      <c r="C4613" s="1200"/>
      <c r="D4613" s="1200"/>
      <c r="E4613" s="1200"/>
      <c r="F4613" s="1200"/>
      <c r="G4613" s="1200"/>
      <c r="H4613" s="1200"/>
      <c r="I4613" s="1200"/>
      <c r="J4613" s="1200"/>
      <c r="K4613" s="1200"/>
      <c r="L4613" s="1201"/>
    </row>
    <row r="4614" spans="1:13" ht="30" customHeight="1" x14ac:dyDescent="0.35">
      <c r="A4614" s="455" t="s">
        <v>1</v>
      </c>
      <c r="B4614" s="439">
        <v>8928</v>
      </c>
      <c r="C4614" s="1658" t="s">
        <v>1957</v>
      </c>
      <c r="D4614" s="1659"/>
      <c r="E4614" s="456" t="s">
        <v>3</v>
      </c>
      <c r="F4614" s="457" t="s">
        <v>40</v>
      </c>
      <c r="G4614" s="520" t="s">
        <v>2</v>
      </c>
      <c r="H4614" s="135">
        <v>1</v>
      </c>
      <c r="I4614" s="456" t="s">
        <v>5</v>
      </c>
      <c r="J4614" s="1207" t="s">
        <v>2873</v>
      </c>
      <c r="K4614" s="1207"/>
      <c r="L4614" s="1208"/>
      <c r="M4614" s="99"/>
    </row>
    <row r="4615" spans="1:13" ht="30" customHeight="1" x14ac:dyDescent="0.35">
      <c r="A4615" s="185" t="s">
        <v>177</v>
      </c>
      <c r="B4615" s="1272" t="s">
        <v>7</v>
      </c>
      <c r="C4615" s="1272"/>
      <c r="D4615" s="1272"/>
      <c r="E4615" s="492" t="s">
        <v>178</v>
      </c>
      <c r="F4615" s="397" t="s">
        <v>52</v>
      </c>
      <c r="G4615" s="1292" t="s">
        <v>54</v>
      </c>
      <c r="H4615" s="1293"/>
      <c r="I4615" s="1221" t="s">
        <v>179</v>
      </c>
      <c r="J4615" s="1222"/>
      <c r="K4615" s="1209" t="s">
        <v>180</v>
      </c>
      <c r="L4615" s="1210"/>
      <c r="M4615" s="96"/>
    </row>
    <row r="4616" spans="1:13" ht="30" customHeight="1" x14ac:dyDescent="0.35">
      <c r="A4616" s="186">
        <v>14970</v>
      </c>
      <c r="B4616" s="1347" t="s">
        <v>2941</v>
      </c>
      <c r="C4616" s="1348"/>
      <c r="D4616" s="1349"/>
      <c r="E4616" s="203">
        <v>1</v>
      </c>
      <c r="F4616" s="368">
        <v>260288</v>
      </c>
      <c r="G4616" s="226"/>
      <c r="H4616" s="136"/>
      <c r="I4616" s="1307">
        <f>+'FY2024 MILCON Inflation Table'!F23</f>
        <v>0.93863689284411045</v>
      </c>
      <c r="J4616" s="1308"/>
      <c r="K4616" s="199">
        <f>+F4616*I4616</f>
        <v>244315.91956460782</v>
      </c>
      <c r="L4616" s="401" t="s">
        <v>40</v>
      </c>
      <c r="M4616" s="10"/>
    </row>
    <row r="4617" spans="1:13" ht="30" customHeight="1" thickBot="1" x14ac:dyDescent="0.4">
      <c r="A4617" s="503"/>
      <c r="B4617" s="1437"/>
      <c r="C4617" s="1438"/>
      <c r="D4617" s="1439"/>
      <c r="E4617" s="503"/>
      <c r="F4617" s="503"/>
      <c r="G4617" s="503"/>
      <c r="H4617" s="503"/>
      <c r="I4617" s="503"/>
      <c r="J4617" s="494" t="s">
        <v>37</v>
      </c>
      <c r="K4617" s="190">
        <f>SUM(K4616:K4616)</f>
        <v>244315.91956460782</v>
      </c>
      <c r="L4617" s="401" t="s">
        <v>40</v>
      </c>
    </row>
    <row r="4618" spans="1:13" ht="30" customHeight="1" thickBot="1" x14ac:dyDescent="0.4">
      <c r="A4618" s="1199"/>
      <c r="B4618" s="1200"/>
      <c r="C4618" s="1200"/>
      <c r="D4618" s="1200"/>
      <c r="E4618" s="1200"/>
      <c r="F4618" s="1200"/>
      <c r="G4618" s="1200"/>
      <c r="H4618" s="1200"/>
      <c r="I4618" s="1200"/>
      <c r="J4618" s="1200"/>
      <c r="K4618" s="1200"/>
      <c r="L4618" s="1201"/>
    </row>
    <row r="4619" spans="1:13" ht="30" customHeight="1" x14ac:dyDescent="0.35">
      <c r="A4619" s="442" t="s">
        <v>1</v>
      </c>
      <c r="B4619" s="442">
        <v>8930</v>
      </c>
      <c r="C4619" s="1398" t="s">
        <v>1958</v>
      </c>
      <c r="D4619" s="1398"/>
      <c r="E4619" s="443" t="s">
        <v>3</v>
      </c>
      <c r="F4619" s="444" t="s">
        <v>28</v>
      </c>
      <c r="G4619" s="445" t="s">
        <v>38</v>
      </c>
      <c r="H4619" s="262">
        <v>5679.3365476190402</v>
      </c>
      <c r="I4619" s="443" t="s">
        <v>5</v>
      </c>
      <c r="J4619" s="1466" t="s">
        <v>2873</v>
      </c>
      <c r="K4619" s="1466"/>
      <c r="L4619" s="1466"/>
      <c r="M4619" s="98"/>
    </row>
    <row r="4620" spans="1:13" ht="30" customHeight="1" x14ac:dyDescent="0.35">
      <c r="A4620" s="446" t="s">
        <v>177</v>
      </c>
      <c r="B4620" s="1248" t="s">
        <v>7</v>
      </c>
      <c r="C4620" s="1248"/>
      <c r="D4620" s="1248"/>
      <c r="E4620" s="446" t="s">
        <v>52</v>
      </c>
      <c r="F4620" s="446" t="s">
        <v>53</v>
      </c>
      <c r="G4620" s="1294" t="s">
        <v>54</v>
      </c>
      <c r="H4620" s="1294"/>
      <c r="I4620" s="1399" t="s">
        <v>179</v>
      </c>
      <c r="J4620" s="1399"/>
      <c r="K4620" s="1294" t="s">
        <v>180</v>
      </c>
      <c r="L4620" s="1294"/>
      <c r="M4620" s="50"/>
    </row>
    <row r="4621" spans="1:13" ht="30" customHeight="1" x14ac:dyDescent="0.35">
      <c r="A4621" s="409">
        <v>82410</v>
      </c>
      <c r="B4621" s="1251" t="s">
        <v>2838</v>
      </c>
      <c r="C4621" s="1251"/>
      <c r="D4621" s="1251"/>
      <c r="E4621" s="364">
        <v>60.6</v>
      </c>
      <c r="F4621" s="319" t="s">
        <v>28</v>
      </c>
      <c r="G4621" s="448"/>
      <c r="H4621" s="448"/>
      <c r="I4621" s="1365">
        <v>0.93863689284411045</v>
      </c>
      <c r="J4621" s="1365"/>
      <c r="K4621" s="297">
        <f>+E4621*I4621</f>
        <v>56.881395706353096</v>
      </c>
      <c r="L4621" s="448"/>
      <c r="M4621" s="50"/>
    </row>
    <row r="4622" spans="1:13" ht="30" customHeight="1" x14ac:dyDescent="0.35">
      <c r="A4622" s="409">
        <v>82410</v>
      </c>
      <c r="B4622" s="1251" t="s">
        <v>2645</v>
      </c>
      <c r="C4622" s="1251"/>
      <c r="D4622" s="1251"/>
      <c r="E4622" s="364">
        <v>82.47</v>
      </c>
      <c r="F4622" s="319" t="s">
        <v>28</v>
      </c>
      <c r="G4622" s="1172"/>
      <c r="H4622" s="638"/>
      <c r="I4622" s="1365">
        <v>0.93863689284411045</v>
      </c>
      <c r="J4622" s="1365"/>
      <c r="K4622" s="297">
        <f>+E4622*I4622</f>
        <v>77.409384552853794</v>
      </c>
      <c r="L4622" s="271" t="s">
        <v>28</v>
      </c>
      <c r="M4622" s="50"/>
    </row>
    <row r="4623" spans="1:13" ht="30" customHeight="1" x14ac:dyDescent="0.35">
      <c r="A4623" s="278"/>
      <c r="B4623" s="271"/>
      <c r="C4623" s="278"/>
      <c r="D4623" s="278"/>
      <c r="E4623" s="278"/>
      <c r="F4623" s="278"/>
      <c r="G4623" s="278"/>
      <c r="H4623" s="278"/>
      <c r="I4623" s="278"/>
      <c r="J4623" s="271" t="s">
        <v>192</v>
      </c>
      <c r="K4623" s="312">
        <f>AVERAGE(K4621:K4622)</f>
        <v>67.145390129603442</v>
      </c>
      <c r="L4623" s="271" t="s">
        <v>28</v>
      </c>
    </row>
    <row r="4624" spans="1:13" ht="30" customHeight="1" thickBot="1" x14ac:dyDescent="0.4">
      <c r="A4624" s="569"/>
      <c r="B4624" s="569"/>
      <c r="C4624" s="510"/>
      <c r="D4624" s="510"/>
      <c r="E4624" s="510"/>
      <c r="F4624" s="510"/>
      <c r="G4624" s="1176"/>
      <c r="H4624" s="510"/>
      <c r="I4624" s="510"/>
      <c r="J4624" s="473" t="s">
        <v>37</v>
      </c>
      <c r="K4624" s="313">
        <f>+K4623</f>
        <v>67.145390129603442</v>
      </c>
      <c r="L4624" s="569" t="s">
        <v>28</v>
      </c>
    </row>
    <row r="4625" spans="1:13" ht="30" customHeight="1" thickBot="1" x14ac:dyDescent="0.4">
      <c r="A4625" s="1199"/>
      <c r="B4625" s="1200"/>
      <c r="C4625" s="1200"/>
      <c r="D4625" s="1200"/>
      <c r="E4625" s="1200"/>
      <c r="F4625" s="1200"/>
      <c r="G4625" s="1200"/>
      <c r="H4625" s="1200"/>
      <c r="I4625" s="1200"/>
      <c r="J4625" s="1200"/>
      <c r="K4625" s="1200"/>
      <c r="L4625" s="1201"/>
    </row>
    <row r="4626" spans="1:13" ht="30" customHeight="1" x14ac:dyDescent="0.35">
      <c r="A4626" s="388" t="s">
        <v>1</v>
      </c>
      <c r="B4626" s="389">
        <v>8931</v>
      </c>
      <c r="C4626" s="1205" t="s">
        <v>1959</v>
      </c>
      <c r="D4626" s="1206"/>
      <c r="E4626" s="392" t="s">
        <v>3</v>
      </c>
      <c r="F4626" s="393" t="s">
        <v>28</v>
      </c>
      <c r="G4626" s="390" t="s">
        <v>38</v>
      </c>
      <c r="H4626" s="132">
        <v>5663</v>
      </c>
      <c r="I4626" s="392" t="s">
        <v>5</v>
      </c>
      <c r="J4626" s="1207" t="s">
        <v>2874</v>
      </c>
      <c r="K4626" s="1207"/>
      <c r="L4626" s="1208"/>
    </row>
    <row r="4627" spans="1:13" ht="30" customHeight="1" x14ac:dyDescent="0.35">
      <c r="A4627" s="494" t="s">
        <v>187</v>
      </c>
      <c r="B4627" s="1280" t="s">
        <v>211</v>
      </c>
      <c r="C4627" s="1281"/>
      <c r="D4627" s="1282"/>
      <c r="E4627" s="566" t="s">
        <v>52</v>
      </c>
      <c r="F4627" s="566" t="s">
        <v>53</v>
      </c>
      <c r="G4627" s="1219" t="s">
        <v>54</v>
      </c>
      <c r="H4627" s="1220"/>
      <c r="I4627" s="1225" t="s">
        <v>188</v>
      </c>
      <c r="J4627" s="1226"/>
      <c r="K4627" s="1209" t="s">
        <v>180</v>
      </c>
      <c r="L4627" s="1210"/>
    </row>
    <row r="4628" spans="1:13" ht="30" customHeight="1" x14ac:dyDescent="0.35">
      <c r="A4628" s="186" t="s">
        <v>347</v>
      </c>
      <c r="B4628" s="1212" t="s">
        <v>2946</v>
      </c>
      <c r="C4628" s="1213"/>
      <c r="D4628" s="1214"/>
      <c r="E4628" s="733">
        <v>38.25</v>
      </c>
      <c r="F4628" s="422" t="s">
        <v>349</v>
      </c>
      <c r="G4628" s="707">
        <v>15</v>
      </c>
      <c r="H4628" s="708" t="s">
        <v>1960</v>
      </c>
      <c r="I4628" s="1372">
        <v>1.01</v>
      </c>
      <c r="J4628" s="1373"/>
      <c r="K4628" s="787">
        <f>+E4628*G4628*I4628</f>
        <v>579.48749999999995</v>
      </c>
      <c r="L4628" s="422" t="s">
        <v>28</v>
      </c>
    </row>
    <row r="4629" spans="1:13" ht="30" customHeight="1" x14ac:dyDescent="0.35">
      <c r="A4629" s="186" t="s">
        <v>347</v>
      </c>
      <c r="B4629" s="1212" t="s">
        <v>2947</v>
      </c>
      <c r="C4629" s="1213"/>
      <c r="D4629" s="1214"/>
      <c r="E4629" s="7">
        <v>44.25</v>
      </c>
      <c r="F4629" s="422" t="s">
        <v>349</v>
      </c>
      <c r="G4629" s="707">
        <v>35</v>
      </c>
      <c r="H4629" s="708" t="s">
        <v>1960</v>
      </c>
      <c r="I4629" s="1372">
        <v>1.01</v>
      </c>
      <c r="J4629" s="1373"/>
      <c r="K4629" s="787">
        <f>+E4629*G4629*I4629</f>
        <v>1564.2375</v>
      </c>
      <c r="L4629" s="422" t="s">
        <v>28</v>
      </c>
    </row>
    <row r="4630" spans="1:13" ht="30" customHeight="1" x14ac:dyDescent="0.35">
      <c r="A4630" s="503"/>
      <c r="B4630" s="1211" t="s">
        <v>1961</v>
      </c>
      <c r="C4630" s="1211"/>
      <c r="D4630" s="1211"/>
      <c r="E4630" s="194"/>
      <c r="F4630" s="186"/>
      <c r="G4630" s="186"/>
      <c r="H4630" s="186"/>
      <c r="I4630" s="186"/>
      <c r="J4630" s="186" t="s">
        <v>1962</v>
      </c>
      <c r="K4630" s="205">
        <f>+((K4628*0.88)+(K4629*0.12))</f>
        <v>697.65749999999991</v>
      </c>
      <c r="L4630" s="186" t="s">
        <v>28</v>
      </c>
    </row>
    <row r="4631" spans="1:13" ht="30" customHeight="1" x14ac:dyDescent="0.35">
      <c r="A4631" s="186"/>
      <c r="B4631" s="1202"/>
      <c r="C4631" s="1203"/>
      <c r="D4631" s="1204"/>
      <c r="E4631" s="194"/>
      <c r="F4631" s="1215" t="s">
        <v>195</v>
      </c>
      <c r="G4631" s="1273" t="s">
        <v>196</v>
      </c>
      <c r="H4631" s="1273"/>
      <c r="I4631" s="1273"/>
      <c r="J4631" s="1273"/>
      <c r="K4631" s="196">
        <v>1.05</v>
      </c>
      <c r="L4631" s="186"/>
    </row>
    <row r="4632" spans="1:13" ht="30" customHeight="1" x14ac:dyDescent="0.35">
      <c r="A4632" s="186"/>
      <c r="B4632" s="567"/>
      <c r="C4632" s="567"/>
      <c r="D4632" s="567"/>
      <c r="E4632" s="194"/>
      <c r="F4632" s="1216"/>
      <c r="G4632" s="1268" t="s">
        <v>276</v>
      </c>
      <c r="H4632" s="1268"/>
      <c r="I4632" s="1268"/>
      <c r="J4632" s="1268"/>
      <c r="K4632" s="196">
        <v>1.07</v>
      </c>
      <c r="L4632" s="186"/>
    </row>
    <row r="4633" spans="1:13" ht="30" customHeight="1" x14ac:dyDescent="0.35">
      <c r="A4633" s="503"/>
      <c r="B4633" s="186"/>
      <c r="C4633" s="503"/>
      <c r="D4633" s="503"/>
      <c r="E4633" s="503"/>
      <c r="F4633" s="503"/>
      <c r="G4633" s="503"/>
      <c r="H4633" s="503"/>
      <c r="I4633" s="503"/>
      <c r="J4633" s="551" t="s">
        <v>37</v>
      </c>
      <c r="K4633" s="193">
        <f>+K4630*K4631/K4632</f>
        <v>684.61717289719616</v>
      </c>
      <c r="L4633" s="186" t="s">
        <v>28</v>
      </c>
    </row>
    <row r="4634" spans="1:13" ht="30" customHeight="1" thickBot="1" x14ac:dyDescent="0.4">
      <c r="A4634" s="186"/>
      <c r="B4634" s="186"/>
      <c r="C4634" s="503"/>
      <c r="D4634" s="503"/>
      <c r="E4634" s="503"/>
      <c r="F4634" s="503"/>
      <c r="G4634" s="1194" t="s">
        <v>257</v>
      </c>
      <c r="H4634" s="1195"/>
      <c r="I4634" s="1196"/>
      <c r="J4634" s="560">
        <f>VLOOKUP(B4626,'Mil Cost Premiums for PUCs'!$A$4:$R$285,18,FALSE)</f>
        <v>1.0905505199999999</v>
      </c>
      <c r="K4634" s="193">
        <f>+K4633*J4634</f>
        <v>746.6096139039671</v>
      </c>
      <c r="L4634" s="186" t="s">
        <v>28</v>
      </c>
    </row>
    <row r="4635" spans="1:13" ht="30" customHeight="1" thickBot="1" x14ac:dyDescent="0.4">
      <c r="A4635" s="1199"/>
      <c r="B4635" s="1200"/>
      <c r="C4635" s="1200"/>
      <c r="D4635" s="1200"/>
      <c r="E4635" s="1200"/>
      <c r="F4635" s="1200"/>
      <c r="G4635" s="1200"/>
      <c r="H4635" s="1200"/>
      <c r="I4635" s="1200"/>
      <c r="J4635" s="1200"/>
      <c r="K4635" s="1200"/>
      <c r="L4635" s="1201"/>
    </row>
    <row r="4636" spans="1:13" ht="30" customHeight="1" x14ac:dyDescent="0.35">
      <c r="A4636" s="388" t="s">
        <v>1</v>
      </c>
      <c r="B4636" s="389">
        <v>8932</v>
      </c>
      <c r="C4636" s="1288" t="s">
        <v>1963</v>
      </c>
      <c r="D4636" s="1289"/>
      <c r="E4636" s="392" t="s">
        <v>3</v>
      </c>
      <c r="F4636" s="393" t="s">
        <v>28</v>
      </c>
      <c r="G4636" s="390" t="s">
        <v>38</v>
      </c>
      <c r="H4636" s="133">
        <v>13867</v>
      </c>
      <c r="I4636" s="392" t="s">
        <v>5</v>
      </c>
      <c r="J4636" s="1466" t="s">
        <v>2873</v>
      </c>
      <c r="K4636" s="1466"/>
      <c r="L4636" s="1466"/>
      <c r="M4636" s="98"/>
    </row>
    <row r="4637" spans="1:13" ht="30" customHeight="1" x14ac:dyDescent="0.35">
      <c r="A4637" s="446" t="s">
        <v>177</v>
      </c>
      <c r="B4637" s="1248" t="s">
        <v>7</v>
      </c>
      <c r="C4637" s="1248"/>
      <c r="D4637" s="1248"/>
      <c r="E4637" s="446" t="s">
        <v>52</v>
      </c>
      <c r="F4637" s="446" t="s">
        <v>53</v>
      </c>
      <c r="G4637" s="1294" t="s">
        <v>54</v>
      </c>
      <c r="H4637" s="1294"/>
      <c r="I4637" s="1399" t="s">
        <v>179</v>
      </c>
      <c r="J4637" s="1399"/>
      <c r="K4637" s="1294" t="s">
        <v>180</v>
      </c>
      <c r="L4637" s="1294"/>
      <c r="M4637" s="50"/>
    </row>
    <row r="4638" spans="1:13" ht="30" customHeight="1" x14ac:dyDescent="0.35">
      <c r="A4638" s="409">
        <v>82210</v>
      </c>
      <c r="B4638" s="1251" t="s">
        <v>2932</v>
      </c>
      <c r="C4638" s="1251"/>
      <c r="D4638" s="1251"/>
      <c r="E4638" s="1177">
        <v>544.54</v>
      </c>
      <c r="F4638" s="319" t="s">
        <v>28</v>
      </c>
      <c r="G4638" s="1172"/>
      <c r="H4638" s="638"/>
      <c r="I4638" s="1365">
        <f>+'FY2024 MILCON Inflation Table'!F23</f>
        <v>0.93863689284411045</v>
      </c>
      <c r="J4638" s="1365"/>
      <c r="K4638" s="297">
        <f>+E4638*I4638</f>
        <v>511.12533362933186</v>
      </c>
      <c r="L4638" s="409" t="s">
        <v>28</v>
      </c>
      <c r="M4638" s="50"/>
    </row>
    <row r="4639" spans="1:13" ht="30" customHeight="1" thickBot="1" x14ac:dyDescent="0.4">
      <c r="A4639" s="503"/>
      <c r="B4639" s="186"/>
      <c r="C4639" s="503"/>
      <c r="D4639" s="503"/>
      <c r="E4639" s="503"/>
      <c r="F4639" s="503"/>
      <c r="G4639" s="672"/>
      <c r="H4639" s="503"/>
      <c r="I4639" s="503"/>
      <c r="J4639" s="473" t="s">
        <v>37</v>
      </c>
      <c r="K4639" s="267">
        <f>+K4638</f>
        <v>511.12533362933186</v>
      </c>
      <c r="L4639" s="409" t="s">
        <v>28</v>
      </c>
    </row>
    <row r="4640" spans="1:13" ht="30" customHeight="1" thickBot="1" x14ac:dyDescent="0.4">
      <c r="A4640" s="1199"/>
      <c r="B4640" s="1200"/>
      <c r="C4640" s="1200"/>
      <c r="D4640" s="1200"/>
      <c r="E4640" s="1200"/>
      <c r="F4640" s="1200"/>
      <c r="G4640" s="1200"/>
      <c r="H4640" s="1200"/>
      <c r="I4640" s="1200"/>
      <c r="J4640" s="1200"/>
      <c r="K4640" s="1200"/>
      <c r="L4640" s="1201"/>
    </row>
    <row r="4641" spans="1:13" ht="30" customHeight="1" x14ac:dyDescent="0.35">
      <c r="A4641" s="388" t="s">
        <v>1</v>
      </c>
      <c r="B4641" s="389">
        <v>8951</v>
      </c>
      <c r="C4641" s="1345" t="s">
        <v>1964</v>
      </c>
      <c r="D4641" s="1346"/>
      <c r="E4641" s="392" t="s">
        <v>3</v>
      </c>
      <c r="F4641" s="393" t="s">
        <v>113</v>
      </c>
      <c r="G4641" s="390" t="s">
        <v>38</v>
      </c>
      <c r="H4641" s="133">
        <v>227197.43</v>
      </c>
      <c r="I4641" s="392" t="s">
        <v>5</v>
      </c>
      <c r="J4641" s="1466" t="s">
        <v>2873</v>
      </c>
      <c r="K4641" s="1466"/>
      <c r="L4641" s="1466"/>
      <c r="M4641" s="98"/>
    </row>
    <row r="4642" spans="1:13" ht="30" customHeight="1" x14ac:dyDescent="0.35">
      <c r="A4642" s="446" t="s">
        <v>177</v>
      </c>
      <c r="B4642" s="1248" t="s">
        <v>7</v>
      </c>
      <c r="C4642" s="1248"/>
      <c r="D4642" s="1248"/>
      <c r="E4642" s="446" t="s">
        <v>52</v>
      </c>
      <c r="F4642" s="446" t="s">
        <v>53</v>
      </c>
      <c r="G4642" s="1294" t="s">
        <v>54</v>
      </c>
      <c r="H4642" s="1294"/>
      <c r="I4642" s="1399" t="s">
        <v>179</v>
      </c>
      <c r="J4642" s="1399"/>
      <c r="K4642" s="1294" t="s">
        <v>180</v>
      </c>
      <c r="L4642" s="1294"/>
      <c r="M4642" s="50"/>
    </row>
    <row r="4643" spans="1:13" ht="30" customHeight="1" x14ac:dyDescent="0.35">
      <c r="A4643" s="409">
        <v>83210</v>
      </c>
      <c r="B4643" s="1251" t="s">
        <v>2693</v>
      </c>
      <c r="C4643" s="1251"/>
      <c r="D4643" s="1251"/>
      <c r="E4643" s="1177">
        <v>67152.33</v>
      </c>
      <c r="F4643" s="319" t="s">
        <v>40</v>
      </c>
      <c r="G4643" s="1172">
        <v>203657.14</v>
      </c>
      <c r="H4643" s="638" t="s">
        <v>1118</v>
      </c>
      <c r="I4643" s="1365">
        <v>0.93863689284411045</v>
      </c>
      <c r="J4643" s="1365"/>
      <c r="K4643" s="297">
        <f>+E4643/G4643*I4643</f>
        <v>0.30949886843369373</v>
      </c>
      <c r="L4643" s="409" t="s">
        <v>113</v>
      </c>
      <c r="M4643" s="50"/>
    </row>
    <row r="4644" spans="1:13" ht="30" customHeight="1" x14ac:dyDescent="0.35">
      <c r="A4644" s="409">
        <v>84620</v>
      </c>
      <c r="B4644" s="1251" t="s">
        <v>2694</v>
      </c>
      <c r="C4644" s="1251"/>
      <c r="D4644" s="1251"/>
      <c r="E4644" s="1177">
        <v>161029.85</v>
      </c>
      <c r="F4644" s="319" t="s">
        <v>40</v>
      </c>
      <c r="G4644" s="1172">
        <v>12000</v>
      </c>
      <c r="H4644" s="638" t="s">
        <v>1118</v>
      </c>
      <c r="I4644" s="1365">
        <f>+I4643</f>
        <v>0.93863689284411045</v>
      </c>
      <c r="J4644" s="1365"/>
      <c r="K4644" s="297">
        <f>+E4644/G4644*I4644</f>
        <v>12.595713171596099</v>
      </c>
      <c r="L4644" s="409" t="s">
        <v>113</v>
      </c>
      <c r="M4644" s="50"/>
    </row>
    <row r="4645" spans="1:13" ht="30" customHeight="1" x14ac:dyDescent="0.35">
      <c r="A4645" s="186"/>
      <c r="B4645" s="1456" t="s">
        <v>2695</v>
      </c>
      <c r="C4645" s="1457"/>
      <c r="D4645" s="1458"/>
      <c r="E4645" s="1178"/>
      <c r="F4645" s="443"/>
      <c r="G4645" s="127"/>
      <c r="H4645" s="136"/>
      <c r="I4645" s="186"/>
      <c r="J4645" s="188" t="s">
        <v>240</v>
      </c>
      <c r="K4645" s="309">
        <f>+(K4643*0.85)+(K4644*0.15)</f>
        <v>2.1524310139080547</v>
      </c>
      <c r="L4645" s="422" t="s">
        <v>113</v>
      </c>
    </row>
    <row r="4646" spans="1:13" ht="30" customHeight="1" thickBot="1" x14ac:dyDescent="0.4">
      <c r="A4646" s="503"/>
      <c r="B4646" s="186"/>
      <c r="C4646" s="503"/>
      <c r="D4646" s="503"/>
      <c r="E4646" s="503"/>
      <c r="F4646" s="503"/>
      <c r="G4646" s="672"/>
      <c r="H4646" s="503"/>
      <c r="I4646" s="503"/>
      <c r="J4646" s="473" t="s">
        <v>37</v>
      </c>
      <c r="K4646" s="267">
        <f>+K4645</f>
        <v>2.1524310139080547</v>
      </c>
      <c r="L4646" s="422" t="s">
        <v>113</v>
      </c>
    </row>
    <row r="4647" spans="1:13" ht="30" customHeight="1" thickBot="1" x14ac:dyDescent="0.4">
      <c r="A4647" s="1199"/>
      <c r="B4647" s="1200"/>
      <c r="C4647" s="1200"/>
      <c r="D4647" s="1200"/>
      <c r="E4647" s="1200"/>
      <c r="F4647" s="1200"/>
      <c r="G4647" s="1200"/>
      <c r="H4647" s="1200"/>
      <c r="I4647" s="1200"/>
      <c r="J4647" s="1200"/>
      <c r="K4647" s="1200"/>
      <c r="L4647" s="1201"/>
    </row>
    <row r="4648" spans="1:13" ht="30" customHeight="1" x14ac:dyDescent="0.35">
      <c r="A4648" s="388" t="s">
        <v>1</v>
      </c>
      <c r="B4648" s="389">
        <v>9110</v>
      </c>
      <c r="C4648" s="1205" t="s">
        <v>2832</v>
      </c>
      <c r="D4648" s="1206"/>
      <c r="E4648" s="392" t="s">
        <v>3</v>
      </c>
      <c r="F4648" s="393" t="s">
        <v>487</v>
      </c>
      <c r="G4648" s="394" t="s">
        <v>2</v>
      </c>
      <c r="H4648" s="728" t="s">
        <v>491</v>
      </c>
      <c r="I4648" s="392" t="s">
        <v>5</v>
      </c>
      <c r="J4648" s="1207" t="s">
        <v>636</v>
      </c>
      <c r="K4648" s="1207"/>
      <c r="L4648" s="1208"/>
      <c r="M4648" s="50"/>
    </row>
    <row r="4649" spans="1:13" ht="30" customHeight="1" x14ac:dyDescent="0.35">
      <c r="A4649" s="494" t="s">
        <v>187</v>
      </c>
      <c r="B4649" s="1280" t="s">
        <v>211</v>
      </c>
      <c r="C4649" s="1281"/>
      <c r="D4649" s="1282"/>
      <c r="E4649" s="566" t="s">
        <v>52</v>
      </c>
      <c r="F4649" s="566" t="s">
        <v>53</v>
      </c>
      <c r="G4649" s="1219" t="s">
        <v>54</v>
      </c>
      <c r="H4649" s="1220"/>
      <c r="I4649" s="185" t="s">
        <v>188</v>
      </c>
      <c r="J4649" s="632" t="s">
        <v>195</v>
      </c>
      <c r="K4649" s="1209" t="s">
        <v>180</v>
      </c>
      <c r="L4649" s="1210"/>
      <c r="M4649" s="50"/>
    </row>
    <row r="4650" spans="1:13" ht="30" customHeight="1" thickBot="1" x14ac:dyDescent="0.4">
      <c r="A4650" s="492"/>
      <c r="B4650" s="1511"/>
      <c r="C4650" s="1521"/>
      <c r="D4650" s="1237"/>
      <c r="E4650" s="845"/>
      <c r="F4650" s="845"/>
      <c r="G4650" s="846"/>
      <c r="H4650" s="847"/>
      <c r="I4650" s="848"/>
      <c r="J4650" s="848"/>
      <c r="K4650" s="849" t="s">
        <v>491</v>
      </c>
      <c r="L4650" s="849" t="s">
        <v>487</v>
      </c>
      <c r="M4650" s="50"/>
    </row>
    <row r="4651" spans="1:13" ht="30" customHeight="1" thickBot="1" x14ac:dyDescent="0.4">
      <c r="A4651" s="1675"/>
      <c r="B4651" s="1676"/>
      <c r="C4651" s="1676"/>
      <c r="D4651" s="1676"/>
      <c r="E4651" s="1676"/>
      <c r="F4651" s="1676"/>
      <c r="G4651" s="1676"/>
      <c r="H4651" s="1676"/>
      <c r="I4651" s="1676"/>
      <c r="J4651" s="1676"/>
      <c r="K4651" s="1676"/>
      <c r="L4651" s="1677"/>
      <c r="M4651" s="50"/>
    </row>
    <row r="4652" spans="1:13" ht="30" customHeight="1" x14ac:dyDescent="0.35">
      <c r="A4652" s="388" t="s">
        <v>1</v>
      </c>
      <c r="B4652" s="389">
        <v>9900</v>
      </c>
      <c r="C4652" s="1205" t="s">
        <v>2833</v>
      </c>
      <c r="D4652" s="1206"/>
      <c r="E4652" s="392" t="s">
        <v>3</v>
      </c>
      <c r="F4652" s="393" t="s">
        <v>487</v>
      </c>
      <c r="G4652" s="394" t="s">
        <v>2</v>
      </c>
      <c r="H4652" s="728" t="s">
        <v>491</v>
      </c>
      <c r="I4652" s="392" t="s">
        <v>5</v>
      </c>
      <c r="J4652" s="1207" t="s">
        <v>636</v>
      </c>
      <c r="K4652" s="1207"/>
      <c r="L4652" s="1208"/>
      <c r="M4652" s="50"/>
    </row>
    <row r="4653" spans="1:13" ht="30" customHeight="1" x14ac:dyDescent="0.35">
      <c r="A4653" s="494" t="s">
        <v>187</v>
      </c>
      <c r="B4653" s="1280" t="s">
        <v>211</v>
      </c>
      <c r="C4653" s="1281"/>
      <c r="D4653" s="1282"/>
      <c r="E4653" s="566" t="s">
        <v>52</v>
      </c>
      <c r="F4653" s="566" t="s">
        <v>53</v>
      </c>
      <c r="G4653" s="1219" t="s">
        <v>54</v>
      </c>
      <c r="H4653" s="1220"/>
      <c r="I4653" s="185" t="s">
        <v>188</v>
      </c>
      <c r="J4653" s="632" t="s">
        <v>195</v>
      </c>
      <c r="K4653" s="1209" t="s">
        <v>180</v>
      </c>
      <c r="L4653" s="1210"/>
      <c r="M4653" s="50"/>
    </row>
    <row r="4654" spans="1:13" ht="30" customHeight="1" thickBot="1" x14ac:dyDescent="0.4">
      <c r="A4654" s="492"/>
      <c r="B4654" s="1511"/>
      <c r="C4654" s="1521"/>
      <c r="D4654" s="1237"/>
      <c r="E4654" s="845"/>
      <c r="F4654" s="845"/>
      <c r="G4654" s="846"/>
      <c r="H4654" s="847"/>
      <c r="I4654" s="848"/>
      <c r="J4654" s="848"/>
      <c r="K4654" s="849" t="s">
        <v>491</v>
      </c>
      <c r="L4654" s="849" t="s">
        <v>487</v>
      </c>
      <c r="M4654" s="50"/>
    </row>
    <row r="4655" spans="1:13" ht="30" customHeight="1" thickBot="1" x14ac:dyDescent="0.4">
      <c r="A4655" s="1675"/>
      <c r="B4655" s="1676"/>
      <c r="C4655" s="1676"/>
      <c r="D4655" s="1676"/>
      <c r="E4655" s="1676"/>
      <c r="F4655" s="1676"/>
      <c r="G4655" s="1676"/>
      <c r="H4655" s="1676"/>
      <c r="I4655" s="1676"/>
      <c r="J4655" s="1676"/>
      <c r="K4655" s="1676"/>
      <c r="L4655" s="1677"/>
      <c r="M4655" s="50"/>
    </row>
  </sheetData>
  <mergeCells count="6647">
    <mergeCell ref="G4065:I4065"/>
    <mergeCell ref="G4076:I4076"/>
    <mergeCell ref="G4120:I4120"/>
    <mergeCell ref="G4165:I4165"/>
    <mergeCell ref="G4569:I4569"/>
    <mergeCell ref="G4580:I4580"/>
    <mergeCell ref="I4203:J4203"/>
    <mergeCell ref="G4541:H4541"/>
    <mergeCell ref="G4100:J4100"/>
    <mergeCell ref="G4160:J4160"/>
    <mergeCell ref="G4161:J4161"/>
    <mergeCell ref="F4119:I4119"/>
    <mergeCell ref="G4149:H4149"/>
    <mergeCell ref="A4210:L4210"/>
    <mergeCell ref="B4251:D4251"/>
    <mergeCell ref="I4251:J4251"/>
    <mergeCell ref="C4291:D4291"/>
    <mergeCell ref="A4238:L4238"/>
    <mergeCell ref="F4522:F4523"/>
    <mergeCell ref="G4522:J4522"/>
    <mergeCell ref="G4523:J4523"/>
    <mergeCell ref="G4525:I4525"/>
    <mergeCell ref="A4526:L4526"/>
    <mergeCell ref="B4521:D4522"/>
    <mergeCell ref="A4228:L4228"/>
    <mergeCell ref="B4334:D4334"/>
    <mergeCell ref="G343:I343"/>
    <mergeCell ref="G328:I328"/>
    <mergeCell ref="B461:D461"/>
    <mergeCell ref="G472:I472"/>
    <mergeCell ref="G489:I489"/>
    <mergeCell ref="G501:I501"/>
    <mergeCell ref="G518:I518"/>
    <mergeCell ref="B537:D537"/>
    <mergeCell ref="G537:I537"/>
    <mergeCell ref="B542:D542"/>
    <mergeCell ref="G542:I542"/>
    <mergeCell ref="B547:D547"/>
    <mergeCell ref="G547:I547"/>
    <mergeCell ref="B552:D552"/>
    <mergeCell ref="G552:I552"/>
    <mergeCell ref="B392:D392"/>
    <mergeCell ref="G3729:I3729"/>
    <mergeCell ref="G388:H388"/>
    <mergeCell ref="G398:H398"/>
    <mergeCell ref="A401:D402"/>
    <mergeCell ref="B415:D415"/>
    <mergeCell ref="B412:D412"/>
    <mergeCell ref="B413:D413"/>
    <mergeCell ref="B701:D701"/>
    <mergeCell ref="I701:J701"/>
    <mergeCell ref="I526:J526"/>
    <mergeCell ref="C530:D530"/>
    <mergeCell ref="J530:L530"/>
    <mergeCell ref="I531:J531"/>
    <mergeCell ref="K531:L531"/>
    <mergeCell ref="G879:I879"/>
    <mergeCell ref="G894:I894"/>
    <mergeCell ref="B531:D531"/>
    <mergeCell ref="G531:H531"/>
    <mergeCell ref="G3282:H3282"/>
    <mergeCell ref="B532:D532"/>
    <mergeCell ref="I532:J532"/>
    <mergeCell ref="G533:I533"/>
    <mergeCell ref="A534:L534"/>
    <mergeCell ref="I389:J389"/>
    <mergeCell ref="B388:D388"/>
    <mergeCell ref="G646:I646"/>
    <mergeCell ref="G661:I661"/>
    <mergeCell ref="G685:I685"/>
    <mergeCell ref="B391:D391"/>
    <mergeCell ref="I391:J391"/>
    <mergeCell ref="J2883:L2883"/>
    <mergeCell ref="J2888:L2888"/>
    <mergeCell ref="A3239:L3239"/>
    <mergeCell ref="B3229:D3229"/>
    <mergeCell ref="G3026:I3026"/>
    <mergeCell ref="G3036:I3036"/>
    <mergeCell ref="G3047:I3047"/>
    <mergeCell ref="G3057:I3057"/>
    <mergeCell ref="G3100:I3100"/>
    <mergeCell ref="G3110:I3110"/>
    <mergeCell ref="G3122:I3122"/>
    <mergeCell ref="B3282:D3282"/>
    <mergeCell ref="G3147:J3147"/>
    <mergeCell ref="G3148:J3148"/>
    <mergeCell ref="B390:D390"/>
    <mergeCell ref="I390:J390"/>
    <mergeCell ref="B399:D399"/>
    <mergeCell ref="I399:J399"/>
    <mergeCell ref="B400:D400"/>
    <mergeCell ref="I400:J400"/>
    <mergeCell ref="B398:D398"/>
    <mergeCell ref="I398:J398"/>
    <mergeCell ref="K398:L398"/>
    <mergeCell ref="G739:I739"/>
    <mergeCell ref="G759:I759"/>
    <mergeCell ref="G770:I770"/>
    <mergeCell ref="G790:I790"/>
    <mergeCell ref="B835:D835"/>
    <mergeCell ref="G836:I836"/>
    <mergeCell ref="B846:D846"/>
    <mergeCell ref="G847:I847"/>
    <mergeCell ref="B4236:D4236"/>
    <mergeCell ref="G4237:H4237"/>
    <mergeCell ref="J2925:L2925"/>
    <mergeCell ref="B2926:D2926"/>
    <mergeCell ref="I2926:J2926"/>
    <mergeCell ref="K2926:L2926"/>
    <mergeCell ref="B2927:D2927"/>
    <mergeCell ref="I2927:J2927"/>
    <mergeCell ref="B2930:D2930"/>
    <mergeCell ref="A2931:L2931"/>
    <mergeCell ref="B2928:D2928"/>
    <mergeCell ref="I2928:J2928"/>
    <mergeCell ref="I2929:J2929"/>
    <mergeCell ref="B4169:D4169"/>
    <mergeCell ref="B4170:D4170"/>
    <mergeCell ref="B4171:D4171"/>
    <mergeCell ref="G4169:H4169"/>
    <mergeCell ref="G4289:I4289"/>
    <mergeCell ref="G4373:I4373"/>
    <mergeCell ref="G4424:I4424"/>
    <mergeCell ref="G4502:I4502"/>
    <mergeCell ref="G4537:I4537"/>
    <mergeCell ref="G4556:I4556"/>
    <mergeCell ref="G4571:I4571"/>
    <mergeCell ref="G4581:I4581"/>
    <mergeCell ref="C4222:D4222"/>
    <mergeCell ref="J4222:L4222"/>
    <mergeCell ref="B4223:D4223"/>
    <mergeCell ref="G4223:H4223"/>
    <mergeCell ref="I4223:J4223"/>
    <mergeCell ref="B4224:D4224"/>
    <mergeCell ref="I4224:J4224"/>
    <mergeCell ref="B4225:D4225"/>
    <mergeCell ref="I4225:J4225"/>
    <mergeCell ref="B4226:D4226"/>
    <mergeCell ref="B4299:D4299"/>
    <mergeCell ref="B4287:D4288"/>
    <mergeCell ref="G4288:I4288"/>
    <mergeCell ref="B4258:D4258"/>
    <mergeCell ref="I4258:J4258"/>
    <mergeCell ref="A4265:L4265"/>
    <mergeCell ref="A4264:D4264"/>
    <mergeCell ref="B4270:D4270"/>
    <mergeCell ref="K3277:L3277"/>
    <mergeCell ref="G3496:I3496"/>
    <mergeCell ref="G3343:H3343"/>
    <mergeCell ref="B3298:D3298"/>
    <mergeCell ref="B3050:D3050"/>
    <mergeCell ref="G3790:I3790"/>
    <mergeCell ref="G3801:I3801"/>
    <mergeCell ref="G3800:I3800"/>
    <mergeCell ref="C4636:D4636"/>
    <mergeCell ref="J4636:L4636"/>
    <mergeCell ref="B4637:D4637"/>
    <mergeCell ref="G4637:H4637"/>
    <mergeCell ref="I4637:J4637"/>
    <mergeCell ref="K4637:L4637"/>
    <mergeCell ref="B4638:D4638"/>
    <mergeCell ref="I4638:J4638"/>
    <mergeCell ref="G3651:I3651"/>
    <mergeCell ref="G3408:I3408"/>
    <mergeCell ref="I4172:J4172"/>
    <mergeCell ref="B3810:D3810"/>
    <mergeCell ref="A3863:H3864"/>
    <mergeCell ref="B3856:D3856"/>
    <mergeCell ref="B3860:D3860"/>
    <mergeCell ref="C4513:D4513"/>
    <mergeCell ref="J4513:L4513"/>
    <mergeCell ref="I4201:J4201"/>
    <mergeCell ref="B4202:D4202"/>
    <mergeCell ref="I4202:J4202"/>
    <mergeCell ref="G3419:I3419"/>
    <mergeCell ref="G3478:I3478"/>
    <mergeCell ref="C4229:D4229"/>
    <mergeCell ref="J4229:L4229"/>
    <mergeCell ref="A4640:L4640"/>
    <mergeCell ref="B3894:D3894"/>
    <mergeCell ref="I3894:J3894"/>
    <mergeCell ref="I2074:J2074"/>
    <mergeCell ref="I2075:J2075"/>
    <mergeCell ref="I2275:J2275"/>
    <mergeCell ref="I2276:J2276"/>
    <mergeCell ref="C2626:D2626"/>
    <mergeCell ref="J2626:L2626"/>
    <mergeCell ref="B2627:D2627"/>
    <mergeCell ref="I2627:J2627"/>
    <mergeCell ref="K2627:L2627"/>
    <mergeCell ref="B2628:D2628"/>
    <mergeCell ref="I2628:J2628"/>
    <mergeCell ref="B2629:D2629"/>
    <mergeCell ref="C4614:D4614"/>
    <mergeCell ref="J4614:L4614"/>
    <mergeCell ref="B4615:D4615"/>
    <mergeCell ref="G4615:H4615"/>
    <mergeCell ref="I4615:J4615"/>
    <mergeCell ref="B3278:D3278"/>
    <mergeCell ref="I3278:J3278"/>
    <mergeCell ref="B3279:D3279"/>
    <mergeCell ref="A3280:L3280"/>
    <mergeCell ref="G3699:I3699"/>
    <mergeCell ref="G3758:I3758"/>
    <mergeCell ref="G3788:I3788"/>
    <mergeCell ref="G3799:I3799"/>
    <mergeCell ref="G3932:I3932"/>
    <mergeCell ref="B2394:D2394"/>
    <mergeCell ref="G3277:H3277"/>
    <mergeCell ref="I3277:J3277"/>
    <mergeCell ref="G1145:I1145"/>
    <mergeCell ref="G1160:I1160"/>
    <mergeCell ref="G1183:I1183"/>
    <mergeCell ref="G1195:I1195"/>
    <mergeCell ref="G1216:I1216"/>
    <mergeCell ref="G1240:I1240"/>
    <mergeCell ref="G1265:I1265"/>
    <mergeCell ref="G1278:I1278"/>
    <mergeCell ref="B351:D351"/>
    <mergeCell ref="I351:J351"/>
    <mergeCell ref="B353:D353"/>
    <mergeCell ref="I353:J353"/>
    <mergeCell ref="B355:E355"/>
    <mergeCell ref="G4392:I4392"/>
    <mergeCell ref="G3206:I3206"/>
    <mergeCell ref="G3236:I3236"/>
    <mergeCell ref="G3253:I3253"/>
    <mergeCell ref="G3289:I3289"/>
    <mergeCell ref="G3305:I3305"/>
    <mergeCell ref="G3326:I3326"/>
    <mergeCell ref="G3340:I3340"/>
    <mergeCell ref="G3356:I3356"/>
    <mergeCell ref="G3366:I3366"/>
    <mergeCell ref="G3376:I3376"/>
    <mergeCell ref="G3397:I3397"/>
    <mergeCell ref="G3440:I3440"/>
    <mergeCell ref="G3455:I3455"/>
    <mergeCell ref="G3504:I3504"/>
    <mergeCell ref="C3276:D3276"/>
    <mergeCell ref="J3276:L3276"/>
    <mergeCell ref="B3277:D3277"/>
    <mergeCell ref="I4170:J4170"/>
    <mergeCell ref="G2784:I2784"/>
    <mergeCell ref="G2567:I2567"/>
    <mergeCell ref="G2772:J2772"/>
    <mergeCell ref="B2413:D2413"/>
    <mergeCell ref="G3044:J3044"/>
    <mergeCell ref="B3052:D3052"/>
    <mergeCell ref="J3038:L3038"/>
    <mergeCell ref="G3054:J3054"/>
    <mergeCell ref="G3055:J3055"/>
    <mergeCell ref="B3155:D3155"/>
    <mergeCell ref="B3144:D3144"/>
    <mergeCell ref="B3096:D3096"/>
    <mergeCell ref="G3070:I3070"/>
    <mergeCell ref="B2856:D2856"/>
    <mergeCell ref="B2840:D2840"/>
    <mergeCell ref="B2879:D2879"/>
    <mergeCell ref="A2873:C2873"/>
    <mergeCell ref="D2872:L2872"/>
    <mergeCell ref="C2852:D2852"/>
    <mergeCell ref="B2858:D2858"/>
    <mergeCell ref="B2859:D2859"/>
    <mergeCell ref="B2857:D2857"/>
    <mergeCell ref="D2874:L2874"/>
    <mergeCell ref="A2876:C2876"/>
    <mergeCell ref="D2873:L2873"/>
    <mergeCell ref="A2867:L2867"/>
    <mergeCell ref="A3006:L3006"/>
    <mergeCell ref="B2886:D2886"/>
    <mergeCell ref="B2891:D2891"/>
    <mergeCell ref="O905:O906"/>
    <mergeCell ref="P905:P906"/>
    <mergeCell ref="Q905:Q906"/>
    <mergeCell ref="R905:R906"/>
    <mergeCell ref="S905:S906"/>
    <mergeCell ref="T905:T906"/>
    <mergeCell ref="G809:I809"/>
    <mergeCell ref="G769:I769"/>
    <mergeCell ref="G594:I594"/>
    <mergeCell ref="G1912:I1912"/>
    <mergeCell ref="G1940:I1940"/>
    <mergeCell ref="G645:I645"/>
    <mergeCell ref="G660:I660"/>
    <mergeCell ref="G684:I684"/>
    <mergeCell ref="G738:I738"/>
    <mergeCell ref="G1523:I1523"/>
    <mergeCell ref="G1598:I1598"/>
    <mergeCell ref="G1643:I1643"/>
    <mergeCell ref="G1665:I1665"/>
    <mergeCell ref="G1830:I1830"/>
    <mergeCell ref="G1848:I1848"/>
    <mergeCell ref="G1292:I1292"/>
    <mergeCell ref="G1313:I1313"/>
    <mergeCell ref="G1330:I1330"/>
    <mergeCell ref="G1352:I1352"/>
    <mergeCell ref="G1361:I1361"/>
    <mergeCell ref="G1382:I1382"/>
    <mergeCell ref="G1409:I1409"/>
    <mergeCell ref="G1426:I1426"/>
    <mergeCell ref="O902:T904"/>
    <mergeCell ref="G1490:I1490"/>
    <mergeCell ref="G1500:I1500"/>
    <mergeCell ref="G329:I329"/>
    <mergeCell ref="G418:I418"/>
    <mergeCell ref="G471:I471"/>
    <mergeCell ref="G488:I488"/>
    <mergeCell ref="G500:I500"/>
    <mergeCell ref="I2880:J2880"/>
    <mergeCell ref="B2803:D2803"/>
    <mergeCell ref="F2805:F2806"/>
    <mergeCell ref="G2090:I2090"/>
    <mergeCell ref="G2115:I2115"/>
    <mergeCell ref="G2130:I2130"/>
    <mergeCell ref="G2199:I2199"/>
    <mergeCell ref="A396:L396"/>
    <mergeCell ref="G526:H526"/>
    <mergeCell ref="I2331:J2331"/>
    <mergeCell ref="B2425:D2425"/>
    <mergeCell ref="G2425:H2425"/>
    <mergeCell ref="G1624:I1624"/>
    <mergeCell ref="B2845:D2845"/>
    <mergeCell ref="G2866:I2866"/>
    <mergeCell ref="A2872:C2872"/>
    <mergeCell ref="C2847:D2847"/>
    <mergeCell ref="C2767:D2767"/>
    <mergeCell ref="C2778:D2778"/>
    <mergeCell ref="B2393:D2393"/>
    <mergeCell ref="J2409:L2409"/>
    <mergeCell ref="G2527:H2527"/>
    <mergeCell ref="I2527:J2527"/>
    <mergeCell ref="A2529:L2529"/>
    <mergeCell ref="A2408:L2408"/>
    <mergeCell ref="B2426:D2426"/>
    <mergeCell ref="I2426:J2426"/>
    <mergeCell ref="B2834:D2834"/>
    <mergeCell ref="I2834:J2834"/>
    <mergeCell ref="B2839:D2839"/>
    <mergeCell ref="B4650:D4650"/>
    <mergeCell ref="A4651:L4651"/>
    <mergeCell ref="C4652:D4652"/>
    <mergeCell ref="J4652:L4652"/>
    <mergeCell ref="B4653:D4653"/>
    <mergeCell ref="G4653:H4653"/>
    <mergeCell ref="K4653:L4653"/>
    <mergeCell ref="B4654:D4654"/>
    <mergeCell ref="A4655:L4655"/>
    <mergeCell ref="B3998:D3998"/>
    <mergeCell ref="I3998:J3998"/>
    <mergeCell ref="B4621:D4621"/>
    <mergeCell ref="I4621:J4621"/>
    <mergeCell ref="G3916:I3916"/>
    <mergeCell ref="B2884:D2884"/>
    <mergeCell ref="B2850:D2850"/>
    <mergeCell ref="I4334:J4334"/>
    <mergeCell ref="B4321:D4321"/>
    <mergeCell ref="I4319:J4319"/>
    <mergeCell ref="I4320:J4320"/>
    <mergeCell ref="I4321:J4321"/>
    <mergeCell ref="G4634:I4634"/>
    <mergeCell ref="G3387:I3387"/>
    <mergeCell ref="G3467:I3467"/>
    <mergeCell ref="K4169:L4169"/>
    <mergeCell ref="G4174:I4174"/>
    <mergeCell ref="I4171:J4171"/>
    <mergeCell ref="B4181:D4181"/>
    <mergeCell ref="K4133:L4133"/>
    <mergeCell ref="B410:D410"/>
    <mergeCell ref="C445:D445"/>
    <mergeCell ref="G1509:I1509"/>
    <mergeCell ref="I522:J522"/>
    <mergeCell ref="C4648:D4648"/>
    <mergeCell ref="J4648:L4648"/>
    <mergeCell ref="B4649:D4649"/>
    <mergeCell ref="G4649:H4649"/>
    <mergeCell ref="K4649:L4649"/>
    <mergeCell ref="G2695:I2695"/>
    <mergeCell ref="G2723:I2723"/>
    <mergeCell ref="B2718:D2718"/>
    <mergeCell ref="B2719:D2719"/>
    <mergeCell ref="B2720:D2720"/>
    <mergeCell ref="B2721:D2721"/>
    <mergeCell ref="G2749:I2749"/>
    <mergeCell ref="G2776:I2776"/>
    <mergeCell ref="G2786:I2786"/>
    <mergeCell ref="G2798:I2798"/>
    <mergeCell ref="F2710:H2710"/>
    <mergeCell ref="I2703:J2703"/>
    <mergeCell ref="B2843:D2843"/>
    <mergeCell ref="G2853:H2853"/>
    <mergeCell ref="B2854:D2854"/>
    <mergeCell ref="K2821:L2821"/>
    <mergeCell ref="B2822:D2822"/>
    <mergeCell ref="F2920:F2921"/>
    <mergeCell ref="F2946:F2947"/>
    <mergeCell ref="B2960:D2960"/>
    <mergeCell ref="I2960:J2960"/>
    <mergeCell ref="B2961:D2961"/>
    <mergeCell ref="C2963:D2963"/>
    <mergeCell ref="C525:D525"/>
    <mergeCell ref="B427:D427"/>
    <mergeCell ref="B2204:D2204"/>
    <mergeCell ref="G2167:I2167"/>
    <mergeCell ref="G2196:I2196"/>
    <mergeCell ref="K1716:L1716"/>
    <mergeCell ref="J1735:L1735"/>
    <mergeCell ref="I1731:J1731"/>
    <mergeCell ref="K1731:L1731"/>
    <mergeCell ref="I1559:J1559"/>
    <mergeCell ref="J1557:L1557"/>
    <mergeCell ref="G1716:H1716"/>
    <mergeCell ref="F1599:I1599"/>
    <mergeCell ref="B1615:D1615"/>
    <mergeCell ref="G613:H613"/>
    <mergeCell ref="A519:L519"/>
    <mergeCell ref="B1574:D1574"/>
    <mergeCell ref="G1582:H1582"/>
    <mergeCell ref="B921:D921"/>
    <mergeCell ref="I1385:J1385"/>
    <mergeCell ref="I1386:J1386"/>
    <mergeCell ref="G1787:I1787"/>
    <mergeCell ref="G1817:I1817"/>
    <mergeCell ref="G791:I791"/>
    <mergeCell ref="G880:I880"/>
    <mergeCell ref="G982:I982"/>
    <mergeCell ref="G992:I992"/>
    <mergeCell ref="G1005:I1005"/>
    <mergeCell ref="G1018:I1018"/>
    <mergeCell ref="G1030:I1030"/>
    <mergeCell ref="G1039:I1039"/>
    <mergeCell ref="G1055:I1055"/>
    <mergeCell ref="C2434:D2434"/>
    <mergeCell ref="B2353:D2353"/>
    <mergeCell ref="B2572:D2572"/>
    <mergeCell ref="B2390:D2390"/>
    <mergeCell ref="B2379:D2379"/>
    <mergeCell ref="A2343:L2343"/>
    <mergeCell ref="B2405:D2405"/>
    <mergeCell ref="J2350:L2350"/>
    <mergeCell ref="J2429:L2429"/>
    <mergeCell ref="B2430:D2430"/>
    <mergeCell ref="G2430:H2430"/>
    <mergeCell ref="I2430:J2430"/>
    <mergeCell ref="K2430:L2430"/>
    <mergeCell ref="B2352:D2352"/>
    <mergeCell ref="J2434:L2434"/>
    <mergeCell ref="B2450:D2450"/>
    <mergeCell ref="I2450:J2450"/>
    <mergeCell ref="G2540:I2540"/>
    <mergeCell ref="G2550:I2550"/>
    <mergeCell ref="C2525:D2525"/>
    <mergeCell ref="B2418:D2418"/>
    <mergeCell ref="G2418:H2418"/>
    <mergeCell ref="B2436:D2436"/>
    <mergeCell ref="I2436:J2436"/>
    <mergeCell ref="B2437:D2437"/>
    <mergeCell ref="C2439:D2439"/>
    <mergeCell ref="J2439:L2439"/>
    <mergeCell ref="G2399:H2399"/>
    <mergeCell ref="G2526:H2526"/>
    <mergeCell ref="I2526:J2526"/>
    <mergeCell ref="A2454:L2454"/>
    <mergeCell ref="I2411:J2411"/>
    <mergeCell ref="G4044:I4044"/>
    <mergeCell ref="G4103:I4103"/>
    <mergeCell ref="A3920:L3920"/>
    <mergeCell ref="B3922:D3922"/>
    <mergeCell ref="C3897:D3897"/>
    <mergeCell ref="D3944:L3944"/>
    <mergeCell ref="B3948:L3948"/>
    <mergeCell ref="B3953:L3953"/>
    <mergeCell ref="B3960:L3960"/>
    <mergeCell ref="A3945:L3945"/>
    <mergeCell ref="B3961:D3961"/>
    <mergeCell ref="F3977:F3978"/>
    <mergeCell ref="B3963:D3963"/>
    <mergeCell ref="G3977:J3977"/>
    <mergeCell ref="A3890:L3890"/>
    <mergeCell ref="I3825:J3825"/>
    <mergeCell ref="B3893:D3893"/>
    <mergeCell ref="I3893:J3893"/>
    <mergeCell ref="B3877:D3877"/>
    <mergeCell ref="B3854:D3854"/>
    <mergeCell ref="B3859:D3859"/>
    <mergeCell ref="J3897:L3897"/>
    <mergeCell ref="B3880:D3880"/>
    <mergeCell ref="C3866:D3866"/>
    <mergeCell ref="B3951:D3951"/>
    <mergeCell ref="I3951:J3951"/>
    <mergeCell ref="G3947:H3947"/>
    <mergeCell ref="G3892:H3892"/>
    <mergeCell ref="G3918:I3918"/>
    <mergeCell ref="G3933:I3933"/>
    <mergeCell ref="G3982:I3982"/>
    <mergeCell ref="G3993:I3993"/>
    <mergeCell ref="I123:J123"/>
    <mergeCell ref="K123:L123"/>
    <mergeCell ref="I124:J124"/>
    <mergeCell ref="B125:D125"/>
    <mergeCell ref="B2526:D2526"/>
    <mergeCell ref="K2526:L2526"/>
    <mergeCell ref="B2527:D2527"/>
    <mergeCell ref="B2528:D2528"/>
    <mergeCell ref="C2569:D2569"/>
    <mergeCell ref="J2569:L2569"/>
    <mergeCell ref="B2570:D2570"/>
    <mergeCell ref="G2570:H2570"/>
    <mergeCell ref="I2570:J2570"/>
    <mergeCell ref="K2570:L2570"/>
    <mergeCell ref="B2571:D2571"/>
    <mergeCell ref="I2571:J2571"/>
    <mergeCell ref="B123:D123"/>
    <mergeCell ref="B124:D124"/>
    <mergeCell ref="C387:D387"/>
    <mergeCell ref="C404:D404"/>
    <mergeCell ref="J404:L404"/>
    <mergeCell ref="A2297:L2297"/>
    <mergeCell ref="A2298:C2298"/>
    <mergeCell ref="D2298:L2298"/>
    <mergeCell ref="A2306:C2306"/>
    <mergeCell ref="D2306:L2306"/>
    <mergeCell ref="C2312:D2312"/>
    <mergeCell ref="K2410:L2410"/>
    <mergeCell ref="B2411:D2411"/>
    <mergeCell ref="B2356:D2356"/>
    <mergeCell ref="B2415:D2415"/>
    <mergeCell ref="C2424:D2424"/>
    <mergeCell ref="B127:D127"/>
    <mergeCell ref="B165:D165"/>
    <mergeCell ref="B166:D166"/>
    <mergeCell ref="B167:D167"/>
    <mergeCell ref="B176:D176"/>
    <mergeCell ref="B192:D192"/>
    <mergeCell ref="B193:D193"/>
    <mergeCell ref="B194:D194"/>
    <mergeCell ref="B195:D195"/>
    <mergeCell ref="B196:D196"/>
    <mergeCell ref="A130:L130"/>
    <mergeCell ref="K410:L410"/>
    <mergeCell ref="B411:D411"/>
    <mergeCell ref="I405:J405"/>
    <mergeCell ref="B405:D405"/>
    <mergeCell ref="B332:D332"/>
    <mergeCell ref="I332:J332"/>
    <mergeCell ref="C135:D135"/>
    <mergeCell ref="B183:D183"/>
    <mergeCell ref="K332:L332"/>
    <mergeCell ref="B266:D266"/>
    <mergeCell ref="B267:D267"/>
    <mergeCell ref="G269:H269"/>
    <mergeCell ref="J135:L135"/>
    <mergeCell ref="B262:D262"/>
    <mergeCell ref="I393:J393"/>
    <mergeCell ref="A394:D395"/>
    <mergeCell ref="J397:L397"/>
    <mergeCell ref="A408:L408"/>
    <mergeCell ref="B406:D406"/>
    <mergeCell ref="G410:H410"/>
    <mergeCell ref="A403:L403"/>
    <mergeCell ref="B116:D116"/>
    <mergeCell ref="I116:J116"/>
    <mergeCell ref="B91:D91"/>
    <mergeCell ref="I91:J91"/>
    <mergeCell ref="A92:D93"/>
    <mergeCell ref="A94:L94"/>
    <mergeCell ref="I100:J100"/>
    <mergeCell ref="K100:L100"/>
    <mergeCell ref="B101:D101"/>
    <mergeCell ref="I101:J101"/>
    <mergeCell ref="B102:D102"/>
    <mergeCell ref="I102:J102"/>
    <mergeCell ref="B103:D103"/>
    <mergeCell ref="I103:J103"/>
    <mergeCell ref="B104:D104"/>
    <mergeCell ref="I104:J104"/>
    <mergeCell ref="J109:L109"/>
    <mergeCell ref="C113:D113"/>
    <mergeCell ref="J113:L113"/>
    <mergeCell ref="B114:D114"/>
    <mergeCell ref="G114:H114"/>
    <mergeCell ref="I114:J114"/>
    <mergeCell ref="J99:L99"/>
    <mergeCell ref="K96:L96"/>
    <mergeCell ref="G110:H110"/>
    <mergeCell ref="B110:D110"/>
    <mergeCell ref="A112:L112"/>
    <mergeCell ref="B111:D111"/>
    <mergeCell ref="A108:L108"/>
    <mergeCell ref="B105:D105"/>
    <mergeCell ref="I105:J105"/>
    <mergeCell ref="G123:H123"/>
    <mergeCell ref="C99:D99"/>
    <mergeCell ref="J95:L95"/>
    <mergeCell ref="C520:D520"/>
    <mergeCell ref="J409:L409"/>
    <mergeCell ref="E316:H316"/>
    <mergeCell ref="B321:D321"/>
    <mergeCell ref="I321:J321"/>
    <mergeCell ref="B323:D323"/>
    <mergeCell ref="I323:J323"/>
    <mergeCell ref="B349:D349"/>
    <mergeCell ref="J259:L259"/>
    <mergeCell ref="A271:L271"/>
    <mergeCell ref="C283:D283"/>
    <mergeCell ref="J283:L283"/>
    <mergeCell ref="B117:D117"/>
    <mergeCell ref="I117:J117"/>
    <mergeCell ref="B118:D118"/>
    <mergeCell ref="I118:J118"/>
    <mergeCell ref="A119:D120"/>
    <mergeCell ref="B136:D136"/>
    <mergeCell ref="B137:D137"/>
    <mergeCell ref="B138:D138"/>
    <mergeCell ref="B139:D139"/>
    <mergeCell ref="B140:D140"/>
    <mergeCell ref="B141:D141"/>
    <mergeCell ref="B142:D142"/>
    <mergeCell ref="B303:D303"/>
    <mergeCell ref="B297:D297"/>
    <mergeCell ref="B115:D115"/>
    <mergeCell ref="B144:D144"/>
    <mergeCell ref="B147:D147"/>
    <mergeCell ref="B148:D148"/>
    <mergeCell ref="G326:J326"/>
    <mergeCell ref="A335:L335"/>
    <mergeCell ref="C425:D425"/>
    <mergeCell ref="B442:D442"/>
    <mergeCell ref="A474:L474"/>
    <mergeCell ref="C475:D475"/>
    <mergeCell ref="J475:L475"/>
    <mergeCell ref="B466:D466"/>
    <mergeCell ref="K405:L405"/>
    <mergeCell ref="I324:J324"/>
    <mergeCell ref="B305:D305"/>
    <mergeCell ref="G305:H305"/>
    <mergeCell ref="A307:L307"/>
    <mergeCell ref="K431:L431"/>
    <mergeCell ref="C397:D397"/>
    <mergeCell ref="J336:L336"/>
    <mergeCell ref="A330:L330"/>
    <mergeCell ref="C331:D331"/>
    <mergeCell ref="J331:L331"/>
    <mergeCell ref="B333:D333"/>
    <mergeCell ref="I333:J333"/>
    <mergeCell ref="G342:I342"/>
    <mergeCell ref="G344:I344"/>
    <mergeCell ref="G473:I473"/>
    <mergeCell ref="I315:J315"/>
    <mergeCell ref="B327:D327"/>
    <mergeCell ref="J318:L318"/>
    <mergeCell ref="B286:D286"/>
    <mergeCell ref="C232:D232"/>
    <mergeCell ref="J232:L232"/>
    <mergeCell ref="C244:D244"/>
    <mergeCell ref="A549:L549"/>
    <mergeCell ref="B476:D476"/>
    <mergeCell ref="I476:J476"/>
    <mergeCell ref="K476:L476"/>
    <mergeCell ref="I431:J431"/>
    <mergeCell ref="I401:J401"/>
    <mergeCell ref="B443:D443"/>
    <mergeCell ref="A356:L356"/>
    <mergeCell ref="A419:L419"/>
    <mergeCell ref="B352:D352"/>
    <mergeCell ref="C409:D409"/>
    <mergeCell ref="B459:D459"/>
    <mergeCell ref="I459:J459"/>
    <mergeCell ref="K521:L521"/>
    <mergeCell ref="A539:L539"/>
    <mergeCell ref="J535:L535"/>
    <mergeCell ref="J540:L540"/>
    <mergeCell ref="I426:J426"/>
    <mergeCell ref="K426:L426"/>
    <mergeCell ref="I427:J427"/>
    <mergeCell ref="B422:D422"/>
    <mergeCell ref="I422:J422"/>
    <mergeCell ref="B423:D423"/>
    <mergeCell ref="A424:L424"/>
    <mergeCell ref="B523:D523"/>
    <mergeCell ref="K526:L526"/>
    <mergeCell ref="B421:D421"/>
    <mergeCell ref="I421:J421"/>
    <mergeCell ref="I392:J392"/>
    <mergeCell ref="B393:D393"/>
    <mergeCell ref="F415:F416"/>
    <mergeCell ref="I477:J477"/>
    <mergeCell ref="B1569:D1569"/>
    <mergeCell ref="B1521:D1521"/>
    <mergeCell ref="B1559:D1559"/>
    <mergeCell ref="A1522:D1523"/>
    <mergeCell ref="A1561:L1561"/>
    <mergeCell ref="J1552:L1552"/>
    <mergeCell ref="B1545:D1545"/>
    <mergeCell ref="C1547:D1547"/>
    <mergeCell ref="J1547:L1547"/>
    <mergeCell ref="B1548:D1548"/>
    <mergeCell ref="B1538:D1538"/>
    <mergeCell ref="I1538:J1538"/>
    <mergeCell ref="I1548:J1548"/>
    <mergeCell ref="K1548:L1548"/>
    <mergeCell ref="A1551:L1551"/>
    <mergeCell ref="A1536:L1536"/>
    <mergeCell ref="J387:L387"/>
    <mergeCell ref="I1539:J1539"/>
    <mergeCell ref="B1543:D1543"/>
    <mergeCell ref="G1543:H1543"/>
    <mergeCell ref="B1539:D1539"/>
    <mergeCell ref="B1534:D1534"/>
    <mergeCell ref="I1534:J1534"/>
    <mergeCell ref="B1535:D1535"/>
    <mergeCell ref="K1538:L1538"/>
    <mergeCell ref="B1553:D1553"/>
    <mergeCell ref="I1553:J1553"/>
    <mergeCell ref="K1553:L1553"/>
    <mergeCell ref="B1549:D1549"/>
    <mergeCell ref="C1492:D1492"/>
    <mergeCell ref="J1492:L1492"/>
    <mergeCell ref="B1488:D1488"/>
    <mergeCell ref="B1570:D1570"/>
    <mergeCell ref="B1571:D1571"/>
    <mergeCell ref="B1572:D1572"/>
    <mergeCell ref="C1527:D1527"/>
    <mergeCell ref="J445:L445"/>
    <mergeCell ref="B431:D431"/>
    <mergeCell ref="J425:L425"/>
    <mergeCell ref="G1390:I1390"/>
    <mergeCell ref="B1471:D1471"/>
    <mergeCell ref="B1469:D1469"/>
    <mergeCell ref="B1467:D1467"/>
    <mergeCell ref="B1468:D1468"/>
    <mergeCell ref="J1581:L1581"/>
    <mergeCell ref="K1563:L1563"/>
    <mergeCell ref="C1562:D1562"/>
    <mergeCell ref="B1563:D1563"/>
    <mergeCell ref="C1557:D1557"/>
    <mergeCell ref="A1556:L1556"/>
    <mergeCell ref="G1525:I1525"/>
    <mergeCell ref="B1498:D1498"/>
    <mergeCell ref="F1520:F1521"/>
    <mergeCell ref="G1520:J1520"/>
    <mergeCell ref="G1521:J1521"/>
    <mergeCell ref="A1531:L1531"/>
    <mergeCell ref="C1532:D1532"/>
    <mergeCell ref="J1532:L1532"/>
    <mergeCell ref="B1533:D1533"/>
    <mergeCell ref="I1533:J1533"/>
    <mergeCell ref="K1533:L1533"/>
    <mergeCell ref="G1563:H1563"/>
    <mergeCell ref="C1502:D1502"/>
    <mergeCell ref="B1520:D1520"/>
    <mergeCell ref="I3776:J3776"/>
    <mergeCell ref="C3255:D3255"/>
    <mergeCell ref="C3281:D3281"/>
    <mergeCell ref="D2900:L2900"/>
    <mergeCell ref="G4023:I4023"/>
    <mergeCell ref="A3771:L3771"/>
    <mergeCell ref="B3832:D3832"/>
    <mergeCell ref="G3832:H3832"/>
    <mergeCell ref="I3832:J3832"/>
    <mergeCell ref="I2911:J2911"/>
    <mergeCell ref="B2912:D2912"/>
    <mergeCell ref="I2912:J2912"/>
    <mergeCell ref="A2905:C2905"/>
    <mergeCell ref="D2904:L2904"/>
    <mergeCell ref="B3861:D3861"/>
    <mergeCell ref="B3843:D3843"/>
    <mergeCell ref="I3843:J3843"/>
    <mergeCell ref="G3140:I3140"/>
    <mergeCell ref="G3175:I3175"/>
    <mergeCell ref="G3198:I3198"/>
    <mergeCell ref="G3218:I3218"/>
    <mergeCell ref="G3270:I3270"/>
    <mergeCell ref="G3316:I3316"/>
    <mergeCell ref="G3740:I3740"/>
    <mergeCell ref="A3916:D3916"/>
    <mergeCell ref="B3834:D3834"/>
    <mergeCell ref="I3834:J3834"/>
    <mergeCell ref="I3956:J3956"/>
    <mergeCell ref="B3858:D3858"/>
    <mergeCell ref="J3831:L3831"/>
    <mergeCell ref="B3833:D3833"/>
    <mergeCell ref="I3833:J3833"/>
    <mergeCell ref="B1630:D1630"/>
    <mergeCell ref="B1635:D1635"/>
    <mergeCell ref="B1636:D1636"/>
    <mergeCell ref="A1606:C1606"/>
    <mergeCell ref="D1606:L1606"/>
    <mergeCell ref="C1613:D1613"/>
    <mergeCell ref="G1448:I1448"/>
    <mergeCell ref="B4561:D4561"/>
    <mergeCell ref="K1582:L1582"/>
    <mergeCell ref="B2331:D2331"/>
    <mergeCell ref="A2349:L2349"/>
    <mergeCell ref="B2342:D2342"/>
    <mergeCell ref="D2300:L2300"/>
    <mergeCell ref="A2311:L2311"/>
    <mergeCell ref="G2346:H2346"/>
    <mergeCell ref="B2205:D2205"/>
    <mergeCell ref="B2206:D2206"/>
    <mergeCell ref="G2296:I2296"/>
    <mergeCell ref="G2280:H2280"/>
    <mergeCell ref="K2280:L2280"/>
    <mergeCell ref="B2281:D2281"/>
    <mergeCell ref="B2282:D2282"/>
    <mergeCell ref="A3071:L3071"/>
    <mergeCell ref="C3049:D3049"/>
    <mergeCell ref="A2669:L2669"/>
    <mergeCell ref="G4560:H4560"/>
    <mergeCell ref="B2890:D2890"/>
    <mergeCell ref="B3867:D3867"/>
    <mergeCell ref="G4177:H4177"/>
    <mergeCell ref="I4177:J4177"/>
    <mergeCell ref="B3784:D3784"/>
    <mergeCell ref="A3792:L3792"/>
    <mergeCell ref="A1669:C1669"/>
    <mergeCell ref="B1616:D1616"/>
    <mergeCell ref="B2377:D2377"/>
    <mergeCell ref="B2378:D2378"/>
    <mergeCell ref="B1833:D1833"/>
    <mergeCell ref="B1917:D1917"/>
    <mergeCell ref="B1919:D1919"/>
    <mergeCell ref="B1920:D1920"/>
    <mergeCell ref="B1918:D1918"/>
    <mergeCell ref="B1921:D1921"/>
    <mergeCell ref="B1945:D1945"/>
    <mergeCell ref="B1948:D1948"/>
    <mergeCell ref="B1949:D1949"/>
    <mergeCell ref="B1950:D1950"/>
    <mergeCell ref="B1976:D1976"/>
    <mergeCell ref="B1977:D1977"/>
    <mergeCell ref="C1735:D1735"/>
    <mergeCell ref="B1718:D1718"/>
    <mergeCell ref="B1618:D1618"/>
    <mergeCell ref="B1732:D1732"/>
    <mergeCell ref="B2288:D2288"/>
    <mergeCell ref="B2289:D2289"/>
    <mergeCell ref="B2285:D2285"/>
    <mergeCell ref="D2299:L2299"/>
    <mergeCell ref="A2304:C2304"/>
    <mergeCell ref="D2302:L2302"/>
    <mergeCell ref="A1668:L1668"/>
    <mergeCell ref="A1673:C1673"/>
    <mergeCell ref="D1673:L1673"/>
    <mergeCell ref="F1644:I1644"/>
    <mergeCell ref="B1717:D1717"/>
    <mergeCell ref="B1629:D1629"/>
    <mergeCell ref="G1667:I1667"/>
    <mergeCell ref="G1995:I1995"/>
    <mergeCell ref="B2207:D2207"/>
    <mergeCell ref="G1575:J1575"/>
    <mergeCell ref="G1576:J1576"/>
    <mergeCell ref="G1943:H1943"/>
    <mergeCell ref="B1978:D1978"/>
    <mergeCell ref="K1986:L1986"/>
    <mergeCell ref="K1726:L1726"/>
    <mergeCell ref="A2358:L2358"/>
    <mergeCell ref="B2414:D2414"/>
    <mergeCell ref="B1768:D1768"/>
    <mergeCell ref="K2255:L2255"/>
    <mergeCell ref="J2279:L2279"/>
    <mergeCell ref="A2273:L2273"/>
    <mergeCell ref="B2276:D2276"/>
    <mergeCell ref="C2279:D2279"/>
    <mergeCell ref="B2261:D2261"/>
    <mergeCell ref="B2262:D2262"/>
    <mergeCell ref="B2263:D2263"/>
    <mergeCell ref="B2264:D2264"/>
    <mergeCell ref="B2265:D2265"/>
    <mergeCell ref="G2309:H2309"/>
    <mergeCell ref="K2309:L2309"/>
    <mergeCell ref="A2302:C2302"/>
    <mergeCell ref="J2308:L2308"/>
    <mergeCell ref="K1741:L1741"/>
    <mergeCell ref="B1748:D1748"/>
    <mergeCell ref="I1748:J1748"/>
    <mergeCell ref="B1631:D1631"/>
    <mergeCell ref="B1632:D1632"/>
    <mergeCell ref="B1633:D1633"/>
    <mergeCell ref="B1728:D1728"/>
    <mergeCell ref="B1742:D1742"/>
    <mergeCell ref="I1742:J1742"/>
    <mergeCell ref="B1743:D1743"/>
    <mergeCell ref="A1739:L1739"/>
    <mergeCell ref="C1745:D1745"/>
    <mergeCell ref="B2291:D2291"/>
    <mergeCell ref="B2292:D2292"/>
    <mergeCell ref="B2286:D2286"/>
    <mergeCell ref="G2342:H2342"/>
    <mergeCell ref="I2328:J2328"/>
    <mergeCell ref="A2300:C2300"/>
    <mergeCell ref="A2303:C2303"/>
    <mergeCell ref="D2303:L2303"/>
    <mergeCell ref="B2240:D2240"/>
    <mergeCell ref="G2240:H2240"/>
    <mergeCell ref="G2338:H2338"/>
    <mergeCell ref="B1749:D1749"/>
    <mergeCell ref="C1755:D1755"/>
    <mergeCell ref="J2312:L2312"/>
    <mergeCell ref="B2287:D2287"/>
    <mergeCell ref="B2035:D2035"/>
    <mergeCell ref="B2284:D2284"/>
    <mergeCell ref="B2283:D2283"/>
    <mergeCell ref="A2305:C2305"/>
    <mergeCell ref="D2305:L2305"/>
    <mergeCell ref="B2314:D2314"/>
    <mergeCell ref="I2314:J2314"/>
    <mergeCell ref="A2301:C2301"/>
    <mergeCell ref="D2301:L2301"/>
    <mergeCell ref="B2280:D2280"/>
    <mergeCell ref="B2290:D2290"/>
    <mergeCell ref="I2451:J2451"/>
    <mergeCell ref="B2453:D2453"/>
    <mergeCell ref="I1717:J1717"/>
    <mergeCell ref="I1716:J1716"/>
    <mergeCell ref="C1715:D1715"/>
    <mergeCell ref="I1768:J1768"/>
    <mergeCell ref="I1732:J1732"/>
    <mergeCell ref="G1966:I1966"/>
    <mergeCell ref="B2313:D2313"/>
    <mergeCell ref="G2313:H2313"/>
    <mergeCell ref="I2313:J2313"/>
    <mergeCell ref="K2313:L2313"/>
    <mergeCell ref="A2299:C2299"/>
    <mergeCell ref="G2048:I2048"/>
    <mergeCell ref="G2061:I2061"/>
    <mergeCell ref="G2088:I2088"/>
    <mergeCell ref="G2112:I2112"/>
    <mergeCell ref="G2127:I2127"/>
    <mergeCell ref="G1998:H1998"/>
    <mergeCell ref="G1802:I1802"/>
    <mergeCell ref="G1929:I1929"/>
    <mergeCell ref="G1956:I1956"/>
    <mergeCell ref="G1983:I1983"/>
    <mergeCell ref="G2012:I2012"/>
    <mergeCell ref="B2038:D2038"/>
    <mergeCell ref="C2040:D2040"/>
    <mergeCell ref="J2040:L2040"/>
    <mergeCell ref="B2041:D2041"/>
    <mergeCell ref="G2041:H2041"/>
    <mergeCell ref="B2034:D2034"/>
    <mergeCell ref="I2034:J2034"/>
    <mergeCell ref="C2374:D2374"/>
    <mergeCell ref="J2374:L2374"/>
    <mergeCell ref="A2388:L2388"/>
    <mergeCell ref="A2401:L2401"/>
    <mergeCell ref="B2315:D2315"/>
    <mergeCell ref="J2319:L2319"/>
    <mergeCell ref="G2310:H2310"/>
    <mergeCell ref="B2317:D2317"/>
    <mergeCell ref="I2315:J2315"/>
    <mergeCell ref="K2351:L2351"/>
    <mergeCell ref="G2386:H2386"/>
    <mergeCell ref="B2391:D2391"/>
    <mergeCell ref="I2435:J2435"/>
    <mergeCell ref="K2435:L2435"/>
    <mergeCell ref="B2431:D2431"/>
    <mergeCell ref="I2431:J2431"/>
    <mergeCell ref="B2435:D2435"/>
    <mergeCell ref="G2435:H2435"/>
    <mergeCell ref="C2429:D2429"/>
    <mergeCell ref="B2432:D2432"/>
    <mergeCell ref="C2409:D2409"/>
    <mergeCell ref="I2413:J2413"/>
    <mergeCell ref="I2404:J2404"/>
    <mergeCell ref="I2418:J2418"/>
    <mergeCell ref="G2410:H2410"/>
    <mergeCell ref="C2319:D2319"/>
    <mergeCell ref="A2433:L2433"/>
    <mergeCell ref="B2341:D2341"/>
    <mergeCell ref="G2341:H2341"/>
    <mergeCell ref="K2341:L2341"/>
    <mergeCell ref="K2337:L2337"/>
    <mergeCell ref="B2392:D2392"/>
    <mergeCell ref="B2403:D2403"/>
    <mergeCell ref="G1662:J1662"/>
    <mergeCell ref="G1663:J1663"/>
    <mergeCell ref="B1655:D1655"/>
    <mergeCell ref="B2367:D2367"/>
    <mergeCell ref="B2368:D2368"/>
    <mergeCell ref="B2369:D2369"/>
    <mergeCell ref="B2328:D2328"/>
    <mergeCell ref="G2328:H2328"/>
    <mergeCell ref="C2344:D2344"/>
    <mergeCell ref="J2344:L2344"/>
    <mergeCell ref="B2345:D2345"/>
    <mergeCell ref="G2345:H2345"/>
    <mergeCell ref="K2345:L2345"/>
    <mergeCell ref="A2335:L2335"/>
    <mergeCell ref="C2239:D2239"/>
    <mergeCell ref="A2278:L2278"/>
    <mergeCell ref="F2293:F2294"/>
    <mergeCell ref="G2293:J2293"/>
    <mergeCell ref="G2294:J2294"/>
    <mergeCell ref="A2094:C2094"/>
    <mergeCell ref="D2094:L2094"/>
    <mergeCell ref="B2036:D2036"/>
    <mergeCell ref="A2013:L2013"/>
    <mergeCell ref="J2014:L2014"/>
    <mergeCell ref="C2014:D2014"/>
    <mergeCell ref="G2024:I2024"/>
    <mergeCell ref="A1674:C1674"/>
    <mergeCell ref="D1674:L1674"/>
    <mergeCell ref="A1709:L1709"/>
    <mergeCell ref="A1714:L1714"/>
    <mergeCell ref="D1669:L1669"/>
    <mergeCell ref="D2304:L2304"/>
    <mergeCell ref="B1573:D1573"/>
    <mergeCell ref="F1575:F1576"/>
    <mergeCell ref="A1647:L1647"/>
    <mergeCell ref="B1628:D1628"/>
    <mergeCell ref="G1601:I1601"/>
    <mergeCell ref="G1645:I1645"/>
    <mergeCell ref="B2410:D2410"/>
    <mergeCell ref="A2428:L2428"/>
    <mergeCell ref="J2424:L2424"/>
    <mergeCell ref="B2364:D2364"/>
    <mergeCell ref="J1502:L1502"/>
    <mergeCell ref="J1527:L1527"/>
    <mergeCell ref="B1528:D1528"/>
    <mergeCell ref="I1528:J1528"/>
    <mergeCell ref="K1528:L1528"/>
    <mergeCell ref="B1518:D1518"/>
    <mergeCell ref="B1519:D1519"/>
    <mergeCell ref="B1554:D1554"/>
    <mergeCell ref="I1554:J1554"/>
    <mergeCell ref="J1562:L1562"/>
    <mergeCell ref="J1542:L1542"/>
    <mergeCell ref="I1543:J1543"/>
    <mergeCell ref="K1543:L1543"/>
    <mergeCell ref="B1544:D1544"/>
    <mergeCell ref="B1540:D1540"/>
    <mergeCell ref="C1542:D1542"/>
    <mergeCell ref="B1659:D1659"/>
    <mergeCell ref="B1653:D1653"/>
    <mergeCell ref="B1654:D1654"/>
    <mergeCell ref="B1660:D1660"/>
    <mergeCell ref="B1661:D1661"/>
    <mergeCell ref="F1662:F1663"/>
    <mergeCell ref="A1491:L1491"/>
    <mergeCell ref="A1501:L1501"/>
    <mergeCell ref="A1510:L1510"/>
    <mergeCell ref="I1544:J1544"/>
    <mergeCell ref="A1499:D1500"/>
    <mergeCell ref="I1549:J1549"/>
    <mergeCell ref="B1550:D1550"/>
    <mergeCell ref="A1546:L1546"/>
    <mergeCell ref="C1552:D1552"/>
    <mergeCell ref="B1497:D1497"/>
    <mergeCell ref="B1163:D1163"/>
    <mergeCell ref="C1450:D1450"/>
    <mergeCell ref="J1450:L1450"/>
    <mergeCell ref="B1451:D1451"/>
    <mergeCell ref="G1451:H1451"/>
    <mergeCell ref="K1451:L1451"/>
    <mergeCell ref="B1452:D1452"/>
    <mergeCell ref="G1452:H1452"/>
    <mergeCell ref="A1453:L1453"/>
    <mergeCell ref="A1472:L1472"/>
    <mergeCell ref="A1196:L1196"/>
    <mergeCell ref="B1493:D1493"/>
    <mergeCell ref="G1493:H1493"/>
    <mergeCell ref="A1279:L1279"/>
    <mergeCell ref="A1293:L1293"/>
    <mergeCell ref="A1489:D1490"/>
    <mergeCell ref="B1482:D1482"/>
    <mergeCell ref="B1483:D1483"/>
    <mergeCell ref="B1484:D1484"/>
    <mergeCell ref="B1485:D1485"/>
    <mergeCell ref="B1214:D1214"/>
    <mergeCell ref="C1218:D1218"/>
    <mergeCell ref="K1186:L1186"/>
    <mergeCell ref="J1162:L1162"/>
    <mergeCell ref="C1189:D1189"/>
    <mergeCell ref="J1189:L1189"/>
    <mergeCell ref="B1190:D1190"/>
    <mergeCell ref="G1190:H1190"/>
    <mergeCell ref="K1190:L1190"/>
    <mergeCell ref="B1191:D1191"/>
    <mergeCell ref="B1169:D1169"/>
    <mergeCell ref="B1170:D1170"/>
    <mergeCell ref="B1171:D1171"/>
    <mergeCell ref="B1172:D1172"/>
    <mergeCell ref="K1148:L1148"/>
    <mergeCell ref="B1149:D1149"/>
    <mergeCell ref="K1163:L1163"/>
    <mergeCell ref="C1162:D1162"/>
    <mergeCell ref="B1167:D1167"/>
    <mergeCell ref="B1178:D1178"/>
    <mergeCell ref="G1127:I1127"/>
    <mergeCell ref="A1362:L1362"/>
    <mergeCell ref="J1007:L1007"/>
    <mergeCell ref="A1017:D1018"/>
    <mergeCell ref="A1006:L1006"/>
    <mergeCell ref="A1019:L1019"/>
    <mergeCell ref="K1008:L1008"/>
    <mergeCell ref="C1020:D1020"/>
    <mergeCell ref="J1020:L1020"/>
    <mergeCell ref="B1021:D1021"/>
    <mergeCell ref="G1021:H1021"/>
    <mergeCell ref="K1021:L1021"/>
    <mergeCell ref="B1168:D1168"/>
    <mergeCell ref="A1182:D1183"/>
    <mergeCell ref="B1118:D1118"/>
    <mergeCell ref="B1119:D1119"/>
    <mergeCell ref="B1120:D1120"/>
    <mergeCell ref="C1113:D1113"/>
    <mergeCell ref="J1113:L1113"/>
    <mergeCell ref="B1114:D1114"/>
    <mergeCell ref="G1114:H1114"/>
    <mergeCell ref="K1114:L1114"/>
    <mergeCell ref="A1112:L1112"/>
    <mergeCell ref="A1110:D1111"/>
    <mergeCell ref="B1150:D1150"/>
    <mergeCell ref="B1151:D1151"/>
    <mergeCell ref="B1142:D1142"/>
    <mergeCell ref="C1197:D1197"/>
    <mergeCell ref="C1185:D1185"/>
    <mergeCell ref="J1185:L1185"/>
    <mergeCell ref="B1186:D1186"/>
    <mergeCell ref="G1186:H1186"/>
    <mergeCell ref="B1077:D1077"/>
    <mergeCell ref="B1078:D1078"/>
    <mergeCell ref="B1079:D1079"/>
    <mergeCell ref="A1102:D1103"/>
    <mergeCell ref="B1050:D1050"/>
    <mergeCell ref="B1051:D1051"/>
    <mergeCell ref="B1045:D1045"/>
    <mergeCell ref="C1069:D1069"/>
    <mergeCell ref="B1060:D1060"/>
    <mergeCell ref="B1115:D1115"/>
    <mergeCell ref="B1116:D1116"/>
    <mergeCell ref="B1117:D1117"/>
    <mergeCell ref="B1108:D1108"/>
    <mergeCell ref="B1109:D1109"/>
    <mergeCell ref="B1121:D1121"/>
    <mergeCell ref="B1107:D1107"/>
    <mergeCell ref="B1098:D1098"/>
    <mergeCell ref="B1099:D1099"/>
    <mergeCell ref="B1100:D1100"/>
    <mergeCell ref="B1101:D1101"/>
    <mergeCell ref="A1087:L1087"/>
    <mergeCell ref="B1074:D1074"/>
    <mergeCell ref="A1068:L1068"/>
    <mergeCell ref="B1083:D1083"/>
    <mergeCell ref="G1067:I1067"/>
    <mergeCell ref="G1086:I1086"/>
    <mergeCell ref="G1094:I1094"/>
    <mergeCell ref="G1103:I1103"/>
    <mergeCell ref="A634:L634"/>
    <mergeCell ref="A648:L648"/>
    <mergeCell ref="G1130:H1130"/>
    <mergeCell ref="K1130:L1130"/>
    <mergeCell ref="B1152:D1152"/>
    <mergeCell ref="B1080:D1080"/>
    <mergeCell ref="C1088:D1088"/>
    <mergeCell ref="I572:J572"/>
    <mergeCell ref="A579:L579"/>
    <mergeCell ref="J598:L598"/>
    <mergeCell ref="G601:H601"/>
    <mergeCell ref="A603:L603"/>
    <mergeCell ref="A587:L587"/>
    <mergeCell ref="K605:L605"/>
    <mergeCell ref="G607:H607"/>
    <mergeCell ref="A610:L610"/>
    <mergeCell ref="I624:J624"/>
    <mergeCell ref="B625:D625"/>
    <mergeCell ref="G596:I596"/>
    <mergeCell ref="B623:D623"/>
    <mergeCell ref="K631:L631"/>
    <mergeCell ref="B633:D633"/>
    <mergeCell ref="J635:L635"/>
    <mergeCell ref="G608:I608"/>
    <mergeCell ref="K985:L985"/>
    <mergeCell ref="B986:D986"/>
    <mergeCell ref="B995:D995"/>
    <mergeCell ref="G995:H995"/>
    <mergeCell ref="J1147:L1147"/>
    <mergeCell ref="B1140:D1140"/>
    <mergeCell ref="C1096:D1096"/>
    <mergeCell ref="B1061:D1061"/>
    <mergeCell ref="I3892:J3892"/>
    <mergeCell ref="C970:D970"/>
    <mergeCell ref="B1027:D1027"/>
    <mergeCell ref="G950:H950"/>
    <mergeCell ref="B945:D945"/>
    <mergeCell ref="G971:H971"/>
    <mergeCell ref="A3885:D3888"/>
    <mergeCell ref="I4178:J4178"/>
    <mergeCell ref="B2812:D2812"/>
    <mergeCell ref="B2813:D2813"/>
    <mergeCell ref="D2870:L2870"/>
    <mergeCell ref="A2875:C2875"/>
    <mergeCell ref="B557:D557"/>
    <mergeCell ref="G557:I557"/>
    <mergeCell ref="B976:D976"/>
    <mergeCell ref="B1131:D1131"/>
    <mergeCell ref="B1132:D1132"/>
    <mergeCell ref="B1133:D1133"/>
    <mergeCell ref="B1134:D1134"/>
    <mergeCell ref="B1135:D1135"/>
    <mergeCell ref="G1460:I1460"/>
    <mergeCell ref="J1057:L1057"/>
    <mergeCell ref="B1058:D1058"/>
    <mergeCell ref="G1058:H1058"/>
    <mergeCell ref="K1058:L1058"/>
    <mergeCell ref="A1104:L1104"/>
    <mergeCell ref="B1089:D1089"/>
    <mergeCell ref="G1089:H1089"/>
    <mergeCell ref="K1089:L1089"/>
    <mergeCell ref="B1090:D1090"/>
    <mergeCell ref="B1091:D1091"/>
    <mergeCell ref="C897:D897"/>
    <mergeCell ref="J897:L897"/>
    <mergeCell ref="B898:D898"/>
    <mergeCell ref="A905:L905"/>
    <mergeCell ref="C911:D911"/>
    <mergeCell ref="J911:L911"/>
    <mergeCell ref="B912:D912"/>
    <mergeCell ref="G912:H912"/>
    <mergeCell ref="I912:J912"/>
    <mergeCell ref="K912:L912"/>
    <mergeCell ref="C906:D906"/>
    <mergeCell ref="C3152:D3152"/>
    <mergeCell ref="J906:L906"/>
    <mergeCell ref="J956:L956"/>
    <mergeCell ref="B919:D919"/>
    <mergeCell ref="A916:L916"/>
    <mergeCell ref="I920:J920"/>
    <mergeCell ref="B913:D913"/>
    <mergeCell ref="B1092:D1092"/>
    <mergeCell ref="B1106:D1106"/>
    <mergeCell ref="G1106:H1106"/>
    <mergeCell ref="K1106:L1106"/>
    <mergeCell ref="C1105:D1105"/>
    <mergeCell ref="B1141:D1141"/>
    <mergeCell ref="J1105:L1105"/>
    <mergeCell ref="B1070:D1070"/>
    <mergeCell ref="J1096:L1096"/>
    <mergeCell ref="B1097:D1097"/>
    <mergeCell ref="B1052:D1052"/>
    <mergeCell ref="B1053:D1053"/>
    <mergeCell ref="B1044:D1044"/>
    <mergeCell ref="B1046:D1046"/>
    <mergeCell ref="J2878:L2878"/>
    <mergeCell ref="B4643:D4643"/>
    <mergeCell ref="B4644:D4644"/>
    <mergeCell ref="C4641:D4641"/>
    <mergeCell ref="J4641:L4641"/>
    <mergeCell ref="B4627:D4627"/>
    <mergeCell ref="G4627:H4627"/>
    <mergeCell ref="B4628:D4628"/>
    <mergeCell ref="G3922:H3922"/>
    <mergeCell ref="C3921:D3921"/>
    <mergeCell ref="F3928:F3929"/>
    <mergeCell ref="G3928:J3928"/>
    <mergeCell ref="A3904:L3904"/>
    <mergeCell ref="C4176:D4176"/>
    <mergeCell ref="D3937:L3937"/>
    <mergeCell ref="B3957:D3957"/>
    <mergeCell ref="I3957:J3957"/>
    <mergeCell ref="H3931:I3931"/>
    <mergeCell ref="D3941:L3941"/>
    <mergeCell ref="D3942:L3942"/>
    <mergeCell ref="A3939:C3939"/>
    <mergeCell ref="C3996:D3996"/>
    <mergeCell ref="B3997:D3997"/>
    <mergeCell ref="G3997:H3997"/>
    <mergeCell ref="I3963:J3963"/>
    <mergeCell ref="B3964:D3964"/>
    <mergeCell ref="I3964:J3964"/>
    <mergeCell ref="D3943:L3943"/>
    <mergeCell ref="B3947:D3947"/>
    <mergeCell ref="B3909:D3909"/>
    <mergeCell ref="B3924:D3924"/>
    <mergeCell ref="B3930:D3930"/>
    <mergeCell ref="D3938:L3938"/>
    <mergeCell ref="K2879:L2879"/>
    <mergeCell ref="A2868:C2868"/>
    <mergeCell ref="A2869:C2869"/>
    <mergeCell ref="B2964:D2964"/>
    <mergeCell ref="B2965:D2965"/>
    <mergeCell ref="C2820:D2820"/>
    <mergeCell ref="B2853:D2853"/>
    <mergeCell ref="B2848:D2848"/>
    <mergeCell ref="B2823:D2823"/>
    <mergeCell ref="C2888:D2888"/>
    <mergeCell ref="G2889:H2889"/>
    <mergeCell ref="I2839:J2839"/>
    <mergeCell ref="D2868:L2868"/>
    <mergeCell ref="A2870:C2870"/>
    <mergeCell ref="D2869:L2869"/>
    <mergeCell ref="A2871:C2871"/>
    <mergeCell ref="I2844:J2844"/>
    <mergeCell ref="B2860:D2860"/>
    <mergeCell ref="B2861:D2861"/>
    <mergeCell ref="I2884:J2884"/>
    <mergeCell ref="B2885:D2885"/>
    <mergeCell ref="A2877:L2877"/>
    <mergeCell ref="D2871:L2871"/>
    <mergeCell ref="I2879:J2879"/>
    <mergeCell ref="A2899:L2899"/>
    <mergeCell ref="D2908:L2908"/>
    <mergeCell ref="B2855:D2855"/>
    <mergeCell ref="A2874:C2874"/>
    <mergeCell ref="D2876:L2876"/>
    <mergeCell ref="I2843:J2843"/>
    <mergeCell ref="C2925:D2925"/>
    <mergeCell ref="D2901:L2901"/>
    <mergeCell ref="J3866:L3866"/>
    <mergeCell ref="B3778:D3778"/>
    <mergeCell ref="I3778:J3778"/>
    <mergeCell ref="J2820:L2820"/>
    <mergeCell ref="K2833:L2833"/>
    <mergeCell ref="I2412:J2412"/>
    <mergeCell ref="A2416:L2416"/>
    <mergeCell ref="C2417:D2417"/>
    <mergeCell ref="J2417:L2417"/>
    <mergeCell ref="B2404:D2404"/>
    <mergeCell ref="B2320:D2320"/>
    <mergeCell ref="J2340:L2340"/>
    <mergeCell ref="J2336:L2336"/>
    <mergeCell ref="G2337:H2337"/>
    <mergeCell ref="B2330:D2330"/>
    <mergeCell ref="I2330:J2330"/>
    <mergeCell ref="B2325:D2325"/>
    <mergeCell ref="C2327:D2327"/>
    <mergeCell ref="J2327:L2327"/>
    <mergeCell ref="B2346:D2346"/>
    <mergeCell ref="C2359:D2359"/>
    <mergeCell ref="J2359:L2359"/>
    <mergeCell ref="B2395:D2395"/>
    <mergeCell ref="B2396:D2396"/>
    <mergeCell ref="B2397:D2397"/>
    <mergeCell ref="B2375:D2375"/>
    <mergeCell ref="A2348:L2348"/>
    <mergeCell ref="B2844:D2844"/>
    <mergeCell ref="J2837:L2837"/>
    <mergeCell ref="B2862:D2862"/>
    <mergeCell ref="F2863:F2864"/>
    <mergeCell ref="G2863:J2863"/>
    <mergeCell ref="D2092:L2092"/>
    <mergeCell ref="B2080:D2080"/>
    <mergeCell ref="B2081:D2081"/>
    <mergeCell ref="B2083:D2083"/>
    <mergeCell ref="B2084:D2084"/>
    <mergeCell ref="F2085:F2086"/>
    <mergeCell ref="G2085:J2085"/>
    <mergeCell ref="G2086:J2086"/>
    <mergeCell ref="B2082:D2082"/>
    <mergeCell ref="A2091:L2091"/>
    <mergeCell ref="B2351:D2351"/>
    <mergeCell ref="G2351:H2351"/>
    <mergeCell ref="C2350:D2350"/>
    <mergeCell ref="B2365:D2365"/>
    <mergeCell ref="B2366:D2366"/>
    <mergeCell ref="B2380:D2380"/>
    <mergeCell ref="G2320:H2320"/>
    <mergeCell ref="I2320:J2320"/>
    <mergeCell ref="B2324:D2324"/>
    <mergeCell ref="G2371:H2371"/>
    <mergeCell ref="A2318:L2318"/>
    <mergeCell ref="C2336:D2336"/>
    <mergeCell ref="B2337:D2337"/>
    <mergeCell ref="B2338:D2338"/>
    <mergeCell ref="B2329:D2329"/>
    <mergeCell ref="I2329:J2329"/>
    <mergeCell ref="K2328:L2328"/>
    <mergeCell ref="A2339:L2339"/>
    <mergeCell ref="C2340:D2340"/>
    <mergeCell ref="I2332:J2332"/>
    <mergeCell ref="B2333:D2333"/>
    <mergeCell ref="B2334:D2334"/>
    <mergeCell ref="B2043:D2043"/>
    <mergeCell ref="B2053:D2053"/>
    <mergeCell ref="B2054:D2054"/>
    <mergeCell ref="F2045:F2046"/>
    <mergeCell ref="G2045:J2045"/>
    <mergeCell ref="G2046:J2046"/>
    <mergeCell ref="C2050:D2050"/>
    <mergeCell ref="J2050:L2050"/>
    <mergeCell ref="B2064:D2064"/>
    <mergeCell ref="G2064:H2064"/>
    <mergeCell ref="K2064:L2064"/>
    <mergeCell ref="J2078:L2078"/>
    <mergeCell ref="B2079:D2079"/>
    <mergeCell ref="G2079:H2079"/>
    <mergeCell ref="K2079:L2079"/>
    <mergeCell ref="A2077:L2077"/>
    <mergeCell ref="G2059:J2059"/>
    <mergeCell ref="A2062:L2062"/>
    <mergeCell ref="C2078:D2078"/>
    <mergeCell ref="C2073:D2073"/>
    <mergeCell ref="J2073:L2073"/>
    <mergeCell ref="B2074:D2074"/>
    <mergeCell ref="K2074:L2074"/>
    <mergeCell ref="B2075:D2075"/>
    <mergeCell ref="F2058:F2059"/>
    <mergeCell ref="A2072:L2072"/>
    <mergeCell ref="B2065:D2065"/>
    <mergeCell ref="B2066:D2066"/>
    <mergeCell ref="F2067:F2068"/>
    <mergeCell ref="G2067:J2067"/>
    <mergeCell ref="G2068:J2068"/>
    <mergeCell ref="B1998:D1998"/>
    <mergeCell ref="C1985:D1985"/>
    <mergeCell ref="J1985:L1985"/>
    <mergeCell ref="J2239:L2239"/>
    <mergeCell ref="C1997:D1997"/>
    <mergeCell ref="K2240:L2240"/>
    <mergeCell ref="F2021:F2022"/>
    <mergeCell ref="A2030:L2030"/>
    <mergeCell ref="B1971:D1971"/>
    <mergeCell ref="G1979:J1979"/>
    <mergeCell ref="G1953:J1953"/>
    <mergeCell ref="A1957:L1957"/>
    <mergeCell ref="B1954:E1954"/>
    <mergeCell ref="B1999:D1999"/>
    <mergeCell ref="B2000:D2000"/>
    <mergeCell ref="J1958:L1958"/>
    <mergeCell ref="B1959:D1959"/>
    <mergeCell ref="G1959:H1959"/>
    <mergeCell ref="K1959:L1959"/>
    <mergeCell ref="A1996:L1996"/>
    <mergeCell ref="G1980:J1980"/>
    <mergeCell ref="F1992:F1993"/>
    <mergeCell ref="G1992:J1992"/>
    <mergeCell ref="G1993:J1993"/>
    <mergeCell ref="B2010:D2010"/>
    <mergeCell ref="A2168:L2168"/>
    <mergeCell ref="A2049:L2049"/>
    <mergeCell ref="K2041:L2041"/>
    <mergeCell ref="B2042:D2042"/>
    <mergeCell ref="G2015:H2015"/>
    <mergeCell ref="K2015:L2015"/>
    <mergeCell ref="I2036:J2036"/>
    <mergeCell ref="G1937:J1937"/>
    <mergeCell ref="G1938:J1938"/>
    <mergeCell ref="C1931:D1931"/>
    <mergeCell ref="J1931:L1931"/>
    <mergeCell ref="B1932:D1932"/>
    <mergeCell ref="G2009:J2009"/>
    <mergeCell ref="B1986:D1986"/>
    <mergeCell ref="G1986:H1986"/>
    <mergeCell ref="B1939:D1939"/>
    <mergeCell ref="C1942:D1942"/>
    <mergeCell ref="A1941:L1941"/>
    <mergeCell ref="F1952:F1953"/>
    <mergeCell ref="G1952:J1952"/>
    <mergeCell ref="F1925:F1926"/>
    <mergeCell ref="G1925:J1925"/>
    <mergeCell ref="G1926:J1926"/>
    <mergeCell ref="B1972:D1972"/>
    <mergeCell ref="B1973:D1973"/>
    <mergeCell ref="B1974:D1974"/>
    <mergeCell ref="B1962:D1962"/>
    <mergeCell ref="F1963:F1964"/>
    <mergeCell ref="G1963:J1963"/>
    <mergeCell ref="G1964:J1964"/>
    <mergeCell ref="B1966:D1966"/>
    <mergeCell ref="C1968:D1968"/>
    <mergeCell ref="A1967:L1967"/>
    <mergeCell ref="B1960:D1960"/>
    <mergeCell ref="F2008:F2009"/>
    <mergeCell ref="G2008:J2008"/>
    <mergeCell ref="K1998:L1998"/>
    <mergeCell ref="B2004:D2004"/>
    <mergeCell ref="B2005:D2005"/>
    <mergeCell ref="B2001:D2001"/>
    <mergeCell ref="B2002:D2002"/>
    <mergeCell ref="B2003:D2003"/>
    <mergeCell ref="B2007:D2007"/>
    <mergeCell ref="B2020:D2020"/>
    <mergeCell ref="G2027:H2027"/>
    <mergeCell ref="I2027:J2027"/>
    <mergeCell ref="K2027:L2027"/>
    <mergeCell ref="B2016:D2016"/>
    <mergeCell ref="B2017:D2017"/>
    <mergeCell ref="B2018:D2018"/>
    <mergeCell ref="B2019:D2019"/>
    <mergeCell ref="B2032:D2032"/>
    <mergeCell ref="G2032:H2032"/>
    <mergeCell ref="I2032:J2032"/>
    <mergeCell ref="K2032:L2032"/>
    <mergeCell ref="B2033:D2033"/>
    <mergeCell ref="I2033:J2033"/>
    <mergeCell ref="J2026:L2026"/>
    <mergeCell ref="B2027:D2027"/>
    <mergeCell ref="B2028:D2028"/>
    <mergeCell ref="I2028:J2028"/>
    <mergeCell ref="B2029:D2029"/>
    <mergeCell ref="A2025:L2025"/>
    <mergeCell ref="B2015:D2015"/>
    <mergeCell ref="B2006:D2006"/>
    <mergeCell ref="B2012:D2012"/>
    <mergeCell ref="A1603:C1603"/>
    <mergeCell ref="D1603:L1603"/>
    <mergeCell ref="A1604:C1604"/>
    <mergeCell ref="B1584:D1584"/>
    <mergeCell ref="B1585:D1585"/>
    <mergeCell ref="C1581:D1581"/>
    <mergeCell ref="B1656:D1656"/>
    <mergeCell ref="D1604:L1604"/>
    <mergeCell ref="B1906:D1906"/>
    <mergeCell ref="B1907:D1907"/>
    <mergeCell ref="C1730:D1730"/>
    <mergeCell ref="J1730:L1730"/>
    <mergeCell ref="A1818:L1818"/>
    <mergeCell ref="A1831:L1831"/>
    <mergeCell ref="A1841:L1841"/>
    <mergeCell ref="A1854:L1854"/>
    <mergeCell ref="A1803:L1803"/>
    <mergeCell ref="B1649:D1649"/>
    <mergeCell ref="A1719:L1719"/>
    <mergeCell ref="B1657:D1657"/>
    <mergeCell ref="B1658:D1658"/>
    <mergeCell ref="D1611:L1611"/>
    <mergeCell ref="J1613:L1613"/>
    <mergeCell ref="A1611:C1611"/>
    <mergeCell ref="B1637:D1637"/>
    <mergeCell ref="B1588:D1588"/>
    <mergeCell ref="B1589:D1589"/>
    <mergeCell ref="B1590:D1590"/>
    <mergeCell ref="B1591:D1591"/>
    <mergeCell ref="B1639:D1639"/>
    <mergeCell ref="K1905:L1905"/>
    <mergeCell ref="A1605:C1605"/>
    <mergeCell ref="B1583:D1583"/>
    <mergeCell ref="B1582:D1582"/>
    <mergeCell ref="B1617:D1617"/>
    <mergeCell ref="A697:L697"/>
    <mergeCell ref="B714:D714"/>
    <mergeCell ref="G714:H714"/>
    <mergeCell ref="I714:J714"/>
    <mergeCell ref="K714:L714"/>
    <mergeCell ref="B707:D707"/>
    <mergeCell ref="I707:J707"/>
    <mergeCell ref="B708:D708"/>
    <mergeCell ref="I708:J708"/>
    <mergeCell ref="I709:J709"/>
    <mergeCell ref="G877:J877"/>
    <mergeCell ref="B1565:D1565"/>
    <mergeCell ref="A1602:L1602"/>
    <mergeCell ref="A1580:L1580"/>
    <mergeCell ref="A1612:L1612"/>
    <mergeCell ref="B1566:D1566"/>
    <mergeCell ref="D1605:L1605"/>
    <mergeCell ref="G802:H802"/>
    <mergeCell ref="B729:D729"/>
    <mergeCell ref="C726:D726"/>
    <mergeCell ref="G808:J808"/>
    <mergeCell ref="B699:D699"/>
    <mergeCell ref="I699:J699"/>
    <mergeCell ref="K699:L699"/>
    <mergeCell ref="C698:D698"/>
    <mergeCell ref="J698:L698"/>
    <mergeCell ref="G699:H699"/>
    <mergeCell ref="A725:L725"/>
    <mergeCell ref="B700:D700"/>
    <mergeCell ref="G1620:J1620"/>
    <mergeCell ref="B1567:D1567"/>
    <mergeCell ref="B1568:D1568"/>
    <mergeCell ref="B1614:D1614"/>
    <mergeCell ref="I913:J913"/>
    <mergeCell ref="B914:D914"/>
    <mergeCell ref="I914:J914"/>
    <mergeCell ref="K953:L953"/>
    <mergeCell ref="B963:D963"/>
    <mergeCell ref="A922:L922"/>
    <mergeCell ref="C944:D944"/>
    <mergeCell ref="B953:D953"/>
    <mergeCell ref="G953:H953"/>
    <mergeCell ref="B957:D957"/>
    <mergeCell ref="A772:L772"/>
    <mergeCell ref="B734:D735"/>
    <mergeCell ref="J970:L970"/>
    <mergeCell ref="J944:L944"/>
    <mergeCell ref="G740:I740"/>
    <mergeCell ref="G771:I771"/>
    <mergeCell ref="G810:I810"/>
    <mergeCell ref="G945:H945"/>
    <mergeCell ref="K945:L945"/>
    <mergeCell ref="B946:D946"/>
    <mergeCell ref="G946:H946"/>
    <mergeCell ref="B949:D949"/>
    <mergeCell ref="G949:H949"/>
    <mergeCell ref="A947:L947"/>
    <mergeCell ref="B815:D815"/>
    <mergeCell ref="C812:D812"/>
    <mergeCell ref="J812:L812"/>
    <mergeCell ref="B802:D802"/>
    <mergeCell ref="J550:L550"/>
    <mergeCell ref="K565:L565"/>
    <mergeCell ref="B566:D566"/>
    <mergeCell ref="C575:D575"/>
    <mergeCell ref="J575:L575"/>
    <mergeCell ref="A554:L554"/>
    <mergeCell ref="A559:L559"/>
    <mergeCell ref="J588:L588"/>
    <mergeCell ref="A563:L563"/>
    <mergeCell ref="A618:L618"/>
    <mergeCell ref="A687:L687"/>
    <mergeCell ref="B638:D638"/>
    <mergeCell ref="C560:D560"/>
    <mergeCell ref="B573:D573"/>
    <mergeCell ref="J555:L555"/>
    <mergeCell ref="B605:D605"/>
    <mergeCell ref="B567:D567"/>
    <mergeCell ref="I576:J576"/>
    <mergeCell ref="K576:L576"/>
    <mergeCell ref="B577:D577"/>
    <mergeCell ref="I577:J577"/>
    <mergeCell ref="K551:L551"/>
    <mergeCell ref="G609:I609"/>
    <mergeCell ref="B582:D582"/>
    <mergeCell ref="B576:D576"/>
    <mergeCell ref="A584:D585"/>
    <mergeCell ref="B636:D636"/>
    <mergeCell ref="B652:D652"/>
    <mergeCell ref="B666:D666"/>
    <mergeCell ref="I666:J666"/>
    <mergeCell ref="C664:D664"/>
    <mergeCell ref="J664:L664"/>
    <mergeCell ref="A479:L479"/>
    <mergeCell ref="I442:J442"/>
    <mergeCell ref="C156:D156"/>
    <mergeCell ref="I319:J319"/>
    <mergeCell ref="K319:L319"/>
    <mergeCell ref="B265:D265"/>
    <mergeCell ref="B316:D316"/>
    <mergeCell ref="B285:D285"/>
    <mergeCell ref="B180:D180"/>
    <mergeCell ref="B184:D184"/>
    <mergeCell ref="B185:D185"/>
    <mergeCell ref="B315:D315"/>
    <mergeCell ref="B287:D287"/>
    <mergeCell ref="B288:D288"/>
    <mergeCell ref="B289:D289"/>
    <mergeCell ref="B290:D290"/>
    <mergeCell ref="B291:D291"/>
    <mergeCell ref="B293:D293"/>
    <mergeCell ref="G293:H293"/>
    <mergeCell ref="B292:D292"/>
    <mergeCell ref="B426:D426"/>
    <mergeCell ref="K388:L388"/>
    <mergeCell ref="B389:D389"/>
    <mergeCell ref="B304:D304"/>
    <mergeCell ref="B324:D324"/>
    <mergeCell ref="C296:D296"/>
    <mergeCell ref="B298:D298"/>
    <mergeCell ref="G415:J415"/>
    <mergeCell ref="G416:J416"/>
    <mergeCell ref="B407:D407"/>
    <mergeCell ref="I388:J388"/>
    <mergeCell ref="A295:L295"/>
    <mergeCell ref="J244:L244"/>
    <mergeCell ref="B314:D314"/>
    <mergeCell ref="I314:J314"/>
    <mergeCell ref="B261:D261"/>
    <mergeCell ref="I125:J125"/>
    <mergeCell ref="B284:D284"/>
    <mergeCell ref="B208:D208"/>
    <mergeCell ref="A231:L231"/>
    <mergeCell ref="B245:D245"/>
    <mergeCell ref="G241:H241"/>
    <mergeCell ref="A243:L243"/>
    <mergeCell ref="A240:D241"/>
    <mergeCell ref="B143:D143"/>
    <mergeCell ref="A186:D188"/>
    <mergeCell ref="J191:L191"/>
    <mergeCell ref="B209:D209"/>
    <mergeCell ref="A215:L215"/>
    <mergeCell ref="C259:D259"/>
    <mergeCell ref="B126:D126"/>
    <mergeCell ref="I126:J126"/>
    <mergeCell ref="I127:J127"/>
    <mergeCell ref="A128:D129"/>
    <mergeCell ref="B300:D300"/>
    <mergeCell ref="B301:D301"/>
    <mergeCell ref="B302:D302"/>
    <mergeCell ref="B222:D222"/>
    <mergeCell ref="B223:D223"/>
    <mergeCell ref="B224:D224"/>
    <mergeCell ref="B225:D225"/>
    <mergeCell ref="B226:D226"/>
    <mergeCell ref="G229:H229"/>
    <mergeCell ref="B227:D227"/>
    <mergeCell ref="A212:D213"/>
    <mergeCell ref="A228:D229"/>
    <mergeCell ref="C131:D131"/>
    <mergeCell ref="B69:D69"/>
    <mergeCell ref="B132:D132"/>
    <mergeCell ref="I568:J568"/>
    <mergeCell ref="J156:L156"/>
    <mergeCell ref="B133:D133"/>
    <mergeCell ref="B145:D145"/>
    <mergeCell ref="B146:D146"/>
    <mergeCell ref="J131:L131"/>
    <mergeCell ref="G69:H69"/>
    <mergeCell ref="K69:L69"/>
    <mergeCell ref="G81:H81"/>
    <mergeCell ref="K81:L81"/>
    <mergeCell ref="G82:H82"/>
    <mergeCell ref="I132:J132"/>
    <mergeCell ref="B87:D87"/>
    <mergeCell ref="B90:D90"/>
    <mergeCell ref="B81:D81"/>
    <mergeCell ref="B82:D82"/>
    <mergeCell ref="A134:L134"/>
    <mergeCell ref="A83:L83"/>
    <mergeCell ref="G111:H111"/>
    <mergeCell ref="C109:D109"/>
    <mergeCell ref="A98:L98"/>
    <mergeCell ref="B568:D568"/>
    <mergeCell ref="C564:D564"/>
    <mergeCell ref="J564:L564"/>
    <mergeCell ref="B100:D100"/>
    <mergeCell ref="G100:H100"/>
    <mergeCell ref="A106:D107"/>
    <mergeCell ref="K314:L314"/>
    <mergeCell ref="A1:L1"/>
    <mergeCell ref="A2:L2"/>
    <mergeCell ref="A3:L3"/>
    <mergeCell ref="A4:L4"/>
    <mergeCell ref="B310:D310"/>
    <mergeCell ref="I310:J310"/>
    <mergeCell ref="B311:D311"/>
    <mergeCell ref="A312:L312"/>
    <mergeCell ref="C313:D313"/>
    <mergeCell ref="J313:L313"/>
    <mergeCell ref="A5:L5"/>
    <mergeCell ref="C308:D308"/>
    <mergeCell ref="J308:L308"/>
    <mergeCell ref="B309:D309"/>
    <mergeCell ref="I309:J309"/>
    <mergeCell ref="K309:L309"/>
    <mergeCell ref="B33:D33"/>
    <mergeCell ref="G97:H97"/>
    <mergeCell ref="J80:L80"/>
    <mergeCell ref="B96:D96"/>
    <mergeCell ref="B97:D97"/>
    <mergeCell ref="B160:D160"/>
    <mergeCell ref="C37:D37"/>
    <mergeCell ref="B161:D161"/>
    <mergeCell ref="G96:H96"/>
    <mergeCell ref="B86:D86"/>
    <mergeCell ref="I86:J86"/>
    <mergeCell ref="I87:J87"/>
    <mergeCell ref="B89:D89"/>
    <mergeCell ref="K110:L110"/>
    <mergeCell ref="B149:D149"/>
    <mergeCell ref="B150:D150"/>
    <mergeCell ref="C6:D6"/>
    <mergeCell ref="J6:L6"/>
    <mergeCell ref="B18:D18"/>
    <mergeCell ref="B16:D16"/>
    <mergeCell ref="B19:D19"/>
    <mergeCell ref="B17:D17"/>
    <mergeCell ref="B157:D157"/>
    <mergeCell ref="B158:D158"/>
    <mergeCell ref="B159:D159"/>
    <mergeCell ref="K114:L114"/>
    <mergeCell ref="I115:J115"/>
    <mergeCell ref="G132:H132"/>
    <mergeCell ref="K132:L132"/>
    <mergeCell ref="A22:L22"/>
    <mergeCell ref="I16:J16"/>
    <mergeCell ref="B15:D15"/>
    <mergeCell ref="I15:J15"/>
    <mergeCell ref="I17:J17"/>
    <mergeCell ref="B52:D52"/>
    <mergeCell ref="B62:D62"/>
    <mergeCell ref="I62:J62"/>
    <mergeCell ref="I52:J52"/>
    <mergeCell ref="I26:J26"/>
    <mergeCell ref="B30:D30"/>
    <mergeCell ref="I30:J30"/>
    <mergeCell ref="B31:D31"/>
    <mergeCell ref="I31:J31"/>
    <mergeCell ref="B32:D32"/>
    <mergeCell ref="I32:J32"/>
    <mergeCell ref="I33:J33"/>
    <mergeCell ref="A35:D35"/>
    <mergeCell ref="K421:L421"/>
    <mergeCell ref="C440:D440"/>
    <mergeCell ref="J440:L440"/>
    <mergeCell ref="B432:D432"/>
    <mergeCell ref="I432:J432"/>
    <mergeCell ref="A434:L434"/>
    <mergeCell ref="B428:D428"/>
    <mergeCell ref="A429:L429"/>
    <mergeCell ref="C430:D430"/>
    <mergeCell ref="J430:L430"/>
    <mergeCell ref="B334:D334"/>
    <mergeCell ref="J201:L201"/>
    <mergeCell ref="B246:D246"/>
    <mergeCell ref="G133:H133"/>
    <mergeCell ref="B174:D174"/>
    <mergeCell ref="B162:D162"/>
    <mergeCell ref="A172:L172"/>
    <mergeCell ref="C191:D191"/>
    <mergeCell ref="B177:D177"/>
    <mergeCell ref="B178:D178"/>
    <mergeCell ref="B179:D179"/>
    <mergeCell ref="J420:L420"/>
    <mergeCell ref="B319:D319"/>
    <mergeCell ref="G319:H319"/>
    <mergeCell ref="B175:D175"/>
    <mergeCell ref="B181:D181"/>
    <mergeCell ref="A155:L155"/>
    <mergeCell ref="B151:D151"/>
    <mergeCell ref="B320:D320"/>
    <mergeCell ref="G320:H320"/>
    <mergeCell ref="B350:D350"/>
    <mergeCell ref="B299:D299"/>
    <mergeCell ref="G198:H198"/>
    <mergeCell ref="A200:L200"/>
    <mergeCell ref="C173:D173"/>
    <mergeCell ref="J173:L173"/>
    <mergeCell ref="A190:L190"/>
    <mergeCell ref="A197:D198"/>
    <mergeCell ref="C216:D216"/>
    <mergeCell ref="J216:L216"/>
    <mergeCell ref="B217:D217"/>
    <mergeCell ref="B218:D218"/>
    <mergeCell ref="B219:D219"/>
    <mergeCell ref="B220:D220"/>
    <mergeCell ref="B221:D221"/>
    <mergeCell ref="B182:D182"/>
    <mergeCell ref="B264:D264"/>
    <mergeCell ref="B273:D273"/>
    <mergeCell ref="A121:L121"/>
    <mergeCell ref="B247:D247"/>
    <mergeCell ref="B248:D248"/>
    <mergeCell ref="B249:D249"/>
    <mergeCell ref="A168:D170"/>
    <mergeCell ref="B163:D163"/>
    <mergeCell ref="B164:D164"/>
    <mergeCell ref="C122:D122"/>
    <mergeCell ref="J122:L122"/>
    <mergeCell ref="B253:D253"/>
    <mergeCell ref="C272:D272"/>
    <mergeCell ref="A152:D153"/>
    <mergeCell ref="G153:H153"/>
    <mergeCell ref="G154:I154"/>
    <mergeCell ref="G171:I171"/>
    <mergeCell ref="G189:I189"/>
    <mergeCell ref="J480:L480"/>
    <mergeCell ref="I456:J456"/>
    <mergeCell ref="K456:L456"/>
    <mergeCell ref="B458:D458"/>
    <mergeCell ref="I458:J458"/>
    <mergeCell ref="B452:D452"/>
    <mergeCell ref="I452:J452"/>
    <mergeCell ref="A454:L454"/>
    <mergeCell ref="C455:D455"/>
    <mergeCell ref="J455:L455"/>
    <mergeCell ref="A453:E453"/>
    <mergeCell ref="K481:L481"/>
    <mergeCell ref="I460:J460"/>
    <mergeCell ref="A462:L462"/>
    <mergeCell ref="G481:H481"/>
    <mergeCell ref="C201:D201"/>
    <mergeCell ref="G213:H213"/>
    <mergeCell ref="B211:D211"/>
    <mergeCell ref="B210:D210"/>
    <mergeCell ref="B260:D260"/>
    <mergeCell ref="B234:D234"/>
    <mergeCell ref="B202:D202"/>
    <mergeCell ref="B203:D203"/>
    <mergeCell ref="B204:D204"/>
    <mergeCell ref="B205:D205"/>
    <mergeCell ref="B206:D206"/>
    <mergeCell ref="B207:D207"/>
    <mergeCell ref="J272:L272"/>
    <mergeCell ref="B276:D276"/>
    <mergeCell ref="J296:L296"/>
    <mergeCell ref="K451:L451"/>
    <mergeCell ref="C420:D420"/>
    <mergeCell ref="B482:D482"/>
    <mergeCell ref="B483:D483"/>
    <mergeCell ref="B484:D484"/>
    <mergeCell ref="I566:J566"/>
    <mergeCell ref="A503:L503"/>
    <mergeCell ref="A504:C504"/>
    <mergeCell ref="D504:L504"/>
    <mergeCell ref="A508:C508"/>
    <mergeCell ref="D508:L508"/>
    <mergeCell ref="A509:C509"/>
    <mergeCell ref="D509:L509"/>
    <mergeCell ref="A510:C510"/>
    <mergeCell ref="D510:L510"/>
    <mergeCell ref="A505:C505"/>
    <mergeCell ref="D505:L505"/>
    <mergeCell ref="A506:C506"/>
    <mergeCell ref="D506:L506"/>
    <mergeCell ref="B521:D521"/>
    <mergeCell ref="I521:J521"/>
    <mergeCell ref="C535:D535"/>
    <mergeCell ref="C540:D540"/>
    <mergeCell ref="J520:L520"/>
    <mergeCell ref="B553:D553"/>
    <mergeCell ref="B536:D536"/>
    <mergeCell ref="B541:D541"/>
    <mergeCell ref="G541:H541"/>
    <mergeCell ref="K541:L541"/>
    <mergeCell ref="B543:D543"/>
    <mergeCell ref="B551:D551"/>
    <mergeCell ref="B565:D565"/>
    <mergeCell ref="I565:J565"/>
    <mergeCell ref="B522:D522"/>
    <mergeCell ref="G497:J497"/>
    <mergeCell ref="G485:J485"/>
    <mergeCell ref="G486:J486"/>
    <mergeCell ref="A491:L491"/>
    <mergeCell ref="C492:D492"/>
    <mergeCell ref="J492:L492"/>
    <mergeCell ref="B493:D493"/>
    <mergeCell ref="G493:H493"/>
    <mergeCell ref="A507:C507"/>
    <mergeCell ref="G502:I502"/>
    <mergeCell ref="K589:L589"/>
    <mergeCell ref="B590:D590"/>
    <mergeCell ref="B606:D606"/>
    <mergeCell ref="F591:F592"/>
    <mergeCell ref="A574:L574"/>
    <mergeCell ref="B569:D569"/>
    <mergeCell ref="I569:J569"/>
    <mergeCell ref="B570:D570"/>
    <mergeCell ref="I570:J570"/>
    <mergeCell ref="C580:D580"/>
    <mergeCell ref="J580:L580"/>
    <mergeCell ref="B589:D589"/>
    <mergeCell ref="I571:J571"/>
    <mergeCell ref="I567:J567"/>
    <mergeCell ref="G605:H605"/>
    <mergeCell ref="G589:H589"/>
    <mergeCell ref="G595:I595"/>
    <mergeCell ref="C550:D550"/>
    <mergeCell ref="C555:D555"/>
    <mergeCell ref="G536:H536"/>
    <mergeCell ref="K536:L536"/>
    <mergeCell ref="B538:D538"/>
    <mergeCell ref="G616:I616"/>
    <mergeCell ref="B527:D527"/>
    <mergeCell ref="I527:J527"/>
    <mergeCell ref="B528:D528"/>
    <mergeCell ref="A529:L529"/>
    <mergeCell ref="G551:H551"/>
    <mergeCell ref="J525:L525"/>
    <mergeCell ref="A524:L524"/>
    <mergeCell ref="A628:L628"/>
    <mergeCell ref="G617:I617"/>
    <mergeCell ref="C619:D619"/>
    <mergeCell ref="J619:L619"/>
    <mergeCell ref="C611:D611"/>
    <mergeCell ref="J611:L611"/>
    <mergeCell ref="B612:D612"/>
    <mergeCell ref="G612:H612"/>
    <mergeCell ref="K612:L612"/>
    <mergeCell ref="B614:D614"/>
    <mergeCell ref="A615:I615"/>
    <mergeCell ref="B613:D613"/>
    <mergeCell ref="C588:D588"/>
    <mergeCell ref="B599:D599"/>
    <mergeCell ref="B600:D600"/>
    <mergeCell ref="G591:J591"/>
    <mergeCell ref="G592:J592"/>
    <mergeCell ref="A597:L597"/>
    <mergeCell ref="B571:D571"/>
    <mergeCell ref="B578:D578"/>
    <mergeCell ref="B572:D572"/>
    <mergeCell ref="C604:D604"/>
    <mergeCell ref="J604:L604"/>
    <mergeCell ref="B607:D607"/>
    <mergeCell ref="B639:D639"/>
    <mergeCell ref="B640:D640"/>
    <mergeCell ref="B665:D665"/>
    <mergeCell ref="G665:H665"/>
    <mergeCell ref="I665:J665"/>
    <mergeCell ref="K665:L665"/>
    <mergeCell ref="B654:D654"/>
    <mergeCell ref="G656:H656"/>
    <mergeCell ref="I623:J623"/>
    <mergeCell ref="G627:I627"/>
    <mergeCell ref="B620:D620"/>
    <mergeCell ref="G620:H620"/>
    <mergeCell ref="I620:J620"/>
    <mergeCell ref="B621:D621"/>
    <mergeCell ref="I621:J621"/>
    <mergeCell ref="C635:D635"/>
    <mergeCell ref="A629:L629"/>
    <mergeCell ref="C630:D630"/>
    <mergeCell ref="J630:L630"/>
    <mergeCell ref="B624:D624"/>
    <mergeCell ref="I625:J625"/>
    <mergeCell ref="B651:D651"/>
    <mergeCell ref="F657:F658"/>
    <mergeCell ref="G657:J657"/>
    <mergeCell ref="G658:J658"/>
    <mergeCell ref="B655:D655"/>
    <mergeCell ref="A663:L663"/>
    <mergeCell ref="B650:D650"/>
    <mergeCell ref="G650:H650"/>
    <mergeCell ref="K636:L636"/>
    <mergeCell ref="B637:D637"/>
    <mergeCell ref="B653:D653"/>
    <mergeCell ref="F642:F643"/>
    <mergeCell ref="B786:D786"/>
    <mergeCell ref="J780:L780"/>
    <mergeCell ref="B781:D781"/>
    <mergeCell ref="G781:H781"/>
    <mergeCell ref="K781:L781"/>
    <mergeCell ref="B782:D782"/>
    <mergeCell ref="D692:L692"/>
    <mergeCell ref="A693:C693"/>
    <mergeCell ref="D693:L693"/>
    <mergeCell ref="B743:D743"/>
    <mergeCell ref="G743:H743"/>
    <mergeCell ref="K743:L743"/>
    <mergeCell ref="B745:D745"/>
    <mergeCell ref="I743:J743"/>
    <mergeCell ref="I744:J744"/>
    <mergeCell ref="I745:J745"/>
    <mergeCell ref="G757:J757"/>
    <mergeCell ref="B744:D744"/>
    <mergeCell ref="F747:F748"/>
    <mergeCell ref="F756:F757"/>
    <mergeCell ref="A691:C691"/>
    <mergeCell ref="B667:D667"/>
    <mergeCell ref="I667:J667"/>
    <mergeCell ref="J773:L773"/>
    <mergeCell ref="G774:H774"/>
    <mergeCell ref="B668:D668"/>
    <mergeCell ref="D688:L688"/>
    <mergeCell ref="A689:C689"/>
    <mergeCell ref="K802:L802"/>
    <mergeCell ref="B803:D803"/>
    <mergeCell ref="B805:D805"/>
    <mergeCell ref="G798:H798"/>
    <mergeCell ref="K798:L798"/>
    <mergeCell ref="B794:D794"/>
    <mergeCell ref="G794:H794"/>
    <mergeCell ref="K794:L794"/>
    <mergeCell ref="C793:D793"/>
    <mergeCell ref="B798:D798"/>
    <mergeCell ref="G736:J736"/>
    <mergeCell ref="A761:L761"/>
    <mergeCell ref="A751:L751"/>
    <mergeCell ref="B804:D804"/>
    <mergeCell ref="C732:D732"/>
    <mergeCell ref="J732:L732"/>
    <mergeCell ref="A811:L811"/>
    <mergeCell ref="B733:D733"/>
    <mergeCell ref="G733:H733"/>
    <mergeCell ref="K733:L733"/>
    <mergeCell ref="B776:D776"/>
    <mergeCell ref="C773:D773"/>
    <mergeCell ref="A792:L792"/>
    <mergeCell ref="K763:L763"/>
    <mergeCell ref="B753:D753"/>
    <mergeCell ref="G753:H753"/>
    <mergeCell ref="K753:L753"/>
    <mergeCell ref="C762:D762"/>
    <mergeCell ref="G767:J767"/>
    <mergeCell ref="G756:J756"/>
    <mergeCell ref="C797:D797"/>
    <mergeCell ref="B754:D754"/>
    <mergeCell ref="B823:D823"/>
    <mergeCell ref="G823:H823"/>
    <mergeCell ref="I823:J823"/>
    <mergeCell ref="K823:L823"/>
    <mergeCell ref="B824:D824"/>
    <mergeCell ref="I824:J824"/>
    <mergeCell ref="B819:D819"/>
    <mergeCell ref="I819:J819"/>
    <mergeCell ref="B820:D820"/>
    <mergeCell ref="A816:L816"/>
    <mergeCell ref="C822:D822"/>
    <mergeCell ref="J822:L822"/>
    <mergeCell ref="C817:D817"/>
    <mergeCell ref="J817:L817"/>
    <mergeCell ref="B818:D818"/>
    <mergeCell ref="I818:J818"/>
    <mergeCell ref="K818:L818"/>
    <mergeCell ref="A821:L821"/>
    <mergeCell ref="B813:D813"/>
    <mergeCell ref="I813:J813"/>
    <mergeCell ref="K813:L813"/>
    <mergeCell ref="B814:D814"/>
    <mergeCell ref="I814:J814"/>
    <mergeCell ref="F807:F808"/>
    <mergeCell ref="C780:D780"/>
    <mergeCell ref="G807:J807"/>
    <mergeCell ref="C801:D801"/>
    <mergeCell ref="J801:L801"/>
    <mergeCell ref="B784:D784"/>
    <mergeCell ref="B836:D836"/>
    <mergeCell ref="C838:D838"/>
    <mergeCell ref="J838:L838"/>
    <mergeCell ref="B833:D833"/>
    <mergeCell ref="G833:H833"/>
    <mergeCell ref="I833:J833"/>
    <mergeCell ref="K833:L833"/>
    <mergeCell ref="B834:D834"/>
    <mergeCell ref="I834:J834"/>
    <mergeCell ref="B829:D829"/>
    <mergeCell ref="I829:J829"/>
    <mergeCell ref="B830:D830"/>
    <mergeCell ref="A826:L826"/>
    <mergeCell ref="C832:D832"/>
    <mergeCell ref="J832:L832"/>
    <mergeCell ref="C827:D827"/>
    <mergeCell ref="J827:L827"/>
    <mergeCell ref="B828:D828"/>
    <mergeCell ref="I828:J828"/>
    <mergeCell ref="K828:L828"/>
    <mergeCell ref="A831:L831"/>
    <mergeCell ref="B840:D840"/>
    <mergeCell ref="I840:J840"/>
    <mergeCell ref="B841:D841"/>
    <mergeCell ref="A837:L837"/>
    <mergeCell ref="C843:D843"/>
    <mergeCell ref="J843:L843"/>
    <mergeCell ref="B856:D856"/>
    <mergeCell ref="I856:J856"/>
    <mergeCell ref="B857:D857"/>
    <mergeCell ref="C854:D854"/>
    <mergeCell ref="J854:L854"/>
    <mergeCell ref="B855:D855"/>
    <mergeCell ref="I855:J855"/>
    <mergeCell ref="K855:L855"/>
    <mergeCell ref="A842:L842"/>
    <mergeCell ref="A848:L848"/>
    <mergeCell ref="A853:L853"/>
    <mergeCell ref="K850:L850"/>
    <mergeCell ref="B852:D852"/>
    <mergeCell ref="I851:J851"/>
    <mergeCell ref="B839:D839"/>
    <mergeCell ref="I839:J839"/>
    <mergeCell ref="K839:L839"/>
    <mergeCell ref="B851:D851"/>
    <mergeCell ref="I860:J860"/>
    <mergeCell ref="K860:L860"/>
    <mergeCell ref="A865:L865"/>
    <mergeCell ref="A863:H863"/>
    <mergeCell ref="B875:D875"/>
    <mergeCell ref="F876:F877"/>
    <mergeCell ref="G876:J876"/>
    <mergeCell ref="B847:D847"/>
    <mergeCell ref="C849:D849"/>
    <mergeCell ref="J849:L849"/>
    <mergeCell ref="B844:D844"/>
    <mergeCell ref="I844:J844"/>
    <mergeCell ref="K844:L844"/>
    <mergeCell ref="B845:D845"/>
    <mergeCell ref="I845:J845"/>
    <mergeCell ref="B861:D861"/>
    <mergeCell ref="I861:J861"/>
    <mergeCell ref="B862:D862"/>
    <mergeCell ref="I862:J862"/>
    <mergeCell ref="A858:L858"/>
    <mergeCell ref="B873:D873"/>
    <mergeCell ref="B874:D874"/>
    <mergeCell ref="B850:D850"/>
    <mergeCell ref="I850:J850"/>
    <mergeCell ref="B869:D869"/>
    <mergeCell ref="J871:L871"/>
    <mergeCell ref="B872:D872"/>
    <mergeCell ref="G872:H872"/>
    <mergeCell ref="K872:L872"/>
    <mergeCell ref="C866:D866"/>
    <mergeCell ref="J866:L866"/>
    <mergeCell ref="B867:D867"/>
    <mergeCell ref="I867:J867"/>
    <mergeCell ref="K867:L867"/>
    <mergeCell ref="B868:D868"/>
    <mergeCell ref="I868:J868"/>
    <mergeCell ref="A870:L870"/>
    <mergeCell ref="B864:D864"/>
    <mergeCell ref="C859:D859"/>
    <mergeCell ref="J859:L859"/>
    <mergeCell ref="B860:D860"/>
    <mergeCell ref="A881:L881"/>
    <mergeCell ref="A896:L896"/>
    <mergeCell ref="A910:L910"/>
    <mergeCell ref="C882:D882"/>
    <mergeCell ref="J882:L882"/>
    <mergeCell ref="G883:H883"/>
    <mergeCell ref="K883:L883"/>
    <mergeCell ref="B883:D883"/>
    <mergeCell ref="B884:D884"/>
    <mergeCell ref="G898:H898"/>
    <mergeCell ref="I898:J898"/>
    <mergeCell ref="K898:L898"/>
    <mergeCell ref="B902:D902"/>
    <mergeCell ref="I902:J902"/>
    <mergeCell ref="B899:D899"/>
    <mergeCell ref="I899:J899"/>
    <mergeCell ref="B900:D900"/>
    <mergeCell ref="B907:D907"/>
    <mergeCell ref="G907:H907"/>
    <mergeCell ref="I907:J907"/>
    <mergeCell ref="K907:L907"/>
    <mergeCell ref="I900:J900"/>
    <mergeCell ref="B908:D908"/>
    <mergeCell ref="B1012:D1012"/>
    <mergeCell ref="B1013:D1013"/>
    <mergeCell ref="B1014:D1014"/>
    <mergeCell ref="B1025:D1025"/>
    <mergeCell ref="B1009:D1009"/>
    <mergeCell ref="B1010:D1010"/>
    <mergeCell ref="B1011:D1011"/>
    <mergeCell ref="B1002:D1002"/>
    <mergeCell ref="B938:D938"/>
    <mergeCell ref="B939:D939"/>
    <mergeCell ref="B940:D940"/>
    <mergeCell ref="B941:E941"/>
    <mergeCell ref="K971:L971"/>
    <mergeCell ref="G957:H957"/>
    <mergeCell ref="B1015:D1015"/>
    <mergeCell ref="B1016:D1016"/>
    <mergeCell ref="B977:D977"/>
    <mergeCell ref="B978:D978"/>
    <mergeCell ref="B979:D979"/>
    <mergeCell ref="B980:D980"/>
    <mergeCell ref="J994:L994"/>
    <mergeCell ref="B998:D998"/>
    <mergeCell ref="B999:D999"/>
    <mergeCell ref="B1000:D1000"/>
    <mergeCell ref="B1001:D1001"/>
    <mergeCell ref="B1022:D1022"/>
    <mergeCell ref="B996:D996"/>
    <mergeCell ref="B997:D997"/>
    <mergeCell ref="I901:J901"/>
    <mergeCell ref="A981:D982"/>
    <mergeCell ref="B967:D967"/>
    <mergeCell ref="A969:L969"/>
    <mergeCell ref="B975:D975"/>
    <mergeCell ref="B1026:D1026"/>
    <mergeCell ref="B1008:D1008"/>
    <mergeCell ref="G1008:H1008"/>
    <mergeCell ref="B990:D990"/>
    <mergeCell ref="K995:L995"/>
    <mergeCell ref="B987:D987"/>
    <mergeCell ref="C984:D984"/>
    <mergeCell ref="J984:L984"/>
    <mergeCell ref="B985:D985"/>
    <mergeCell ref="G985:H985"/>
    <mergeCell ref="B933:D933"/>
    <mergeCell ref="B934:D934"/>
    <mergeCell ref="B935:D935"/>
    <mergeCell ref="B936:D936"/>
    <mergeCell ref="B937:D937"/>
    <mergeCell ref="I919:J919"/>
    <mergeCell ref="C917:D917"/>
    <mergeCell ref="I918:J918"/>
    <mergeCell ref="K918:L918"/>
    <mergeCell ref="C956:D956"/>
    <mergeCell ref="C952:D952"/>
    <mergeCell ref="C994:D994"/>
    <mergeCell ref="A983:L983"/>
    <mergeCell ref="A993:L993"/>
    <mergeCell ref="B988:D988"/>
    <mergeCell ref="B989:D989"/>
    <mergeCell ref="G958:H958"/>
    <mergeCell ref="K1042:L1042"/>
    <mergeCell ref="B964:D964"/>
    <mergeCell ref="B965:D965"/>
    <mergeCell ref="B972:D972"/>
    <mergeCell ref="B973:D973"/>
    <mergeCell ref="B974:D974"/>
    <mergeCell ref="K957:L957"/>
    <mergeCell ref="B958:D958"/>
    <mergeCell ref="B1059:D1059"/>
    <mergeCell ref="A959:L959"/>
    <mergeCell ref="B1023:D1023"/>
    <mergeCell ref="B1024:D1024"/>
    <mergeCell ref="A1040:L1040"/>
    <mergeCell ref="B971:D971"/>
    <mergeCell ref="B1003:D1003"/>
    <mergeCell ref="C1007:D1007"/>
    <mergeCell ref="G1070:H1070"/>
    <mergeCell ref="K1070:L1070"/>
    <mergeCell ref="B1047:D1047"/>
    <mergeCell ref="B1048:D1048"/>
    <mergeCell ref="B1049:D1049"/>
    <mergeCell ref="B1043:D1043"/>
    <mergeCell ref="B1063:D1063"/>
    <mergeCell ref="J1069:L1069"/>
    <mergeCell ref="B1064:D1064"/>
    <mergeCell ref="B1028:D1028"/>
    <mergeCell ref="C1032:D1032"/>
    <mergeCell ref="J1032:L1032"/>
    <mergeCell ref="B1033:D1033"/>
    <mergeCell ref="G1033:H1033"/>
    <mergeCell ref="B1065:D1065"/>
    <mergeCell ref="A1066:D1067"/>
    <mergeCell ref="B1081:D1081"/>
    <mergeCell ref="G1097:H1097"/>
    <mergeCell ref="K1097:L1097"/>
    <mergeCell ref="A1093:D1094"/>
    <mergeCell ref="A1095:L1095"/>
    <mergeCell ref="B1084:D1084"/>
    <mergeCell ref="C1057:D1057"/>
    <mergeCell ref="B1122:D1122"/>
    <mergeCell ref="B1123:D1123"/>
    <mergeCell ref="B1124:D1124"/>
    <mergeCell ref="B1125:D1125"/>
    <mergeCell ref="G1163:H1163"/>
    <mergeCell ref="A1128:L1128"/>
    <mergeCell ref="C1129:D1129"/>
    <mergeCell ref="J1129:L1129"/>
    <mergeCell ref="B1130:D1130"/>
    <mergeCell ref="A1146:L1146"/>
    <mergeCell ref="B1143:D1143"/>
    <mergeCell ref="C1147:D1147"/>
    <mergeCell ref="B1157:D1157"/>
    <mergeCell ref="A1126:D1127"/>
    <mergeCell ref="A1144:D1145"/>
    <mergeCell ref="B1148:D1148"/>
    <mergeCell ref="G1148:H1148"/>
    <mergeCell ref="A1159:D1160"/>
    <mergeCell ref="B1062:D1062"/>
    <mergeCell ref="B1082:D1082"/>
    <mergeCell ref="A1085:D1086"/>
    <mergeCell ref="B1136:D1136"/>
    <mergeCell ref="B1137:D1137"/>
    <mergeCell ref="B1138:D1138"/>
    <mergeCell ref="B1139:D1139"/>
    <mergeCell ref="J1218:L1218"/>
    <mergeCell ref="B1219:D1219"/>
    <mergeCell ref="G1219:H1219"/>
    <mergeCell ref="K1219:L1219"/>
    <mergeCell ref="B1208:D1208"/>
    <mergeCell ref="B1209:D1209"/>
    <mergeCell ref="B1210:D1210"/>
    <mergeCell ref="B1211:D1211"/>
    <mergeCell ref="B1212:D1212"/>
    <mergeCell ref="B1213:D1213"/>
    <mergeCell ref="A1215:D1216"/>
    <mergeCell ref="B1153:D1153"/>
    <mergeCell ref="B1154:D1154"/>
    <mergeCell ref="B1155:D1155"/>
    <mergeCell ref="B1156:D1156"/>
    <mergeCell ref="A1161:L1161"/>
    <mergeCell ref="A1184:L1184"/>
    <mergeCell ref="B1158:D1158"/>
    <mergeCell ref="J1197:L1197"/>
    <mergeCell ref="B1164:D1164"/>
    <mergeCell ref="B1165:D1165"/>
    <mergeCell ref="B1166:D1166"/>
    <mergeCell ref="B1202:D1202"/>
    <mergeCell ref="B1203:D1203"/>
    <mergeCell ref="B1204:D1204"/>
    <mergeCell ref="B1205:D1205"/>
    <mergeCell ref="B1206:D1206"/>
    <mergeCell ref="G1198:H1198"/>
    <mergeCell ref="K1198:L1198"/>
    <mergeCell ref="B1199:D1199"/>
    <mergeCell ref="A1217:L1217"/>
    <mergeCell ref="B1187:D1187"/>
    <mergeCell ref="B1224:D1224"/>
    <mergeCell ref="B1225:D1225"/>
    <mergeCell ref="B1246:D1246"/>
    <mergeCell ref="B1200:D1200"/>
    <mergeCell ref="B1201:D1201"/>
    <mergeCell ref="B1192:D1192"/>
    <mergeCell ref="B1193:D1193"/>
    <mergeCell ref="B1179:D1179"/>
    <mergeCell ref="B1180:D1180"/>
    <mergeCell ref="B1181:D1181"/>
    <mergeCell ref="B1173:D1173"/>
    <mergeCell ref="B1174:D1174"/>
    <mergeCell ref="B1175:D1175"/>
    <mergeCell ref="B1176:D1176"/>
    <mergeCell ref="B1177:D1177"/>
    <mergeCell ref="B1207:D1207"/>
    <mergeCell ref="B1198:D1198"/>
    <mergeCell ref="B1243:D1243"/>
    <mergeCell ref="B1232:D1232"/>
    <mergeCell ref="B1220:D1220"/>
    <mergeCell ref="B1221:D1221"/>
    <mergeCell ref="B1222:D1222"/>
    <mergeCell ref="B1223:D1223"/>
    <mergeCell ref="A1188:L1188"/>
    <mergeCell ref="A1194:D1195"/>
    <mergeCell ref="G1243:H1243"/>
    <mergeCell ref="K1243:L1243"/>
    <mergeCell ref="A1241:L1241"/>
    <mergeCell ref="B1244:D1244"/>
    <mergeCell ref="B1245:D1245"/>
    <mergeCell ref="B1236:D1236"/>
    <mergeCell ref="B1237:D1237"/>
    <mergeCell ref="B1238:D1238"/>
    <mergeCell ref="C1242:D1242"/>
    <mergeCell ref="J1242:L1242"/>
    <mergeCell ref="K1268:L1268"/>
    <mergeCell ref="B1233:D1233"/>
    <mergeCell ref="B1234:D1234"/>
    <mergeCell ref="B1235:D1235"/>
    <mergeCell ref="B1226:D1226"/>
    <mergeCell ref="B1227:D1227"/>
    <mergeCell ref="B1228:D1228"/>
    <mergeCell ref="B1229:D1229"/>
    <mergeCell ref="B1230:D1230"/>
    <mergeCell ref="B1231:D1231"/>
    <mergeCell ref="A1239:D1240"/>
    <mergeCell ref="B1271:D1271"/>
    <mergeCell ref="A1266:L1266"/>
    <mergeCell ref="B1261:D1261"/>
    <mergeCell ref="B1262:D1262"/>
    <mergeCell ref="B1263:D1263"/>
    <mergeCell ref="B1256:D1256"/>
    <mergeCell ref="B1257:D1257"/>
    <mergeCell ref="B1258:D1258"/>
    <mergeCell ref="B1259:D1259"/>
    <mergeCell ref="B1260:D1260"/>
    <mergeCell ref="B1252:D1252"/>
    <mergeCell ref="B1253:D1253"/>
    <mergeCell ref="B1254:D1254"/>
    <mergeCell ref="B1255:D1255"/>
    <mergeCell ref="B1247:D1247"/>
    <mergeCell ref="B1248:D1248"/>
    <mergeCell ref="B1249:D1249"/>
    <mergeCell ref="B1250:D1250"/>
    <mergeCell ref="B1251:D1251"/>
    <mergeCell ref="B1295:D1295"/>
    <mergeCell ref="G1295:H1295"/>
    <mergeCell ref="K1295:L1295"/>
    <mergeCell ref="B1296:D1296"/>
    <mergeCell ref="B1288:D1288"/>
    <mergeCell ref="B1289:D1289"/>
    <mergeCell ref="B1290:D1290"/>
    <mergeCell ref="B1282:D1282"/>
    <mergeCell ref="B1283:D1283"/>
    <mergeCell ref="B1284:D1284"/>
    <mergeCell ref="B1285:D1285"/>
    <mergeCell ref="B1286:D1286"/>
    <mergeCell ref="B1287:D1287"/>
    <mergeCell ref="C1267:D1267"/>
    <mergeCell ref="J1267:L1267"/>
    <mergeCell ref="A1277:D1278"/>
    <mergeCell ref="A1291:D1292"/>
    <mergeCell ref="C1280:D1280"/>
    <mergeCell ref="J1280:L1280"/>
    <mergeCell ref="B1281:D1281"/>
    <mergeCell ref="G1281:H1281"/>
    <mergeCell ref="K1281:L1281"/>
    <mergeCell ref="B1272:D1272"/>
    <mergeCell ref="B1273:D1273"/>
    <mergeCell ref="B1274:D1274"/>
    <mergeCell ref="B1275:D1275"/>
    <mergeCell ref="B1276:D1276"/>
    <mergeCell ref="B1268:D1268"/>
    <mergeCell ref="G1268:H1268"/>
    <mergeCell ref="B1269:D1269"/>
    <mergeCell ref="B1270:D1270"/>
    <mergeCell ref="C1315:D1315"/>
    <mergeCell ref="J1315:L1315"/>
    <mergeCell ref="B1316:D1316"/>
    <mergeCell ref="G1316:H1316"/>
    <mergeCell ref="K1316:L1316"/>
    <mergeCell ref="B1310:D1310"/>
    <mergeCell ref="B1311:D1311"/>
    <mergeCell ref="B1303:D1303"/>
    <mergeCell ref="B1304:D1304"/>
    <mergeCell ref="B1305:D1305"/>
    <mergeCell ref="B1306:D1306"/>
    <mergeCell ref="B1307:D1307"/>
    <mergeCell ref="B1308:D1308"/>
    <mergeCell ref="B1297:D1297"/>
    <mergeCell ref="B1298:D1298"/>
    <mergeCell ref="B1299:D1299"/>
    <mergeCell ref="B1300:D1300"/>
    <mergeCell ref="B1301:D1301"/>
    <mergeCell ref="B1302:D1302"/>
    <mergeCell ref="A1312:D1313"/>
    <mergeCell ref="A1314:L1314"/>
    <mergeCell ref="B1309:D1309"/>
    <mergeCell ref="C1294:D1294"/>
    <mergeCell ref="J1294:L1294"/>
    <mergeCell ref="B1333:D1333"/>
    <mergeCell ref="G1333:H1333"/>
    <mergeCell ref="K1333:L1333"/>
    <mergeCell ref="B1334:D1334"/>
    <mergeCell ref="B1335:D1335"/>
    <mergeCell ref="B1336:D1336"/>
    <mergeCell ref="B1337:D1337"/>
    <mergeCell ref="C1332:D1332"/>
    <mergeCell ref="J1332:L1332"/>
    <mergeCell ref="B1322:D1322"/>
    <mergeCell ref="B1323:D1323"/>
    <mergeCell ref="B1324:D1324"/>
    <mergeCell ref="B1325:D1325"/>
    <mergeCell ref="B1326:D1326"/>
    <mergeCell ref="B1317:D1317"/>
    <mergeCell ref="B1318:D1318"/>
    <mergeCell ref="B1319:D1319"/>
    <mergeCell ref="B1320:D1320"/>
    <mergeCell ref="B1321:D1321"/>
    <mergeCell ref="B1327:D1327"/>
    <mergeCell ref="B1328:D1328"/>
    <mergeCell ref="A1329:D1330"/>
    <mergeCell ref="A1331:L1331"/>
    <mergeCell ref="B1356:D1356"/>
    <mergeCell ref="B1357:D1357"/>
    <mergeCell ref="B1358:D1358"/>
    <mergeCell ref="B1359:D1359"/>
    <mergeCell ref="B1350:D1350"/>
    <mergeCell ref="C1354:D1354"/>
    <mergeCell ref="J1354:L1354"/>
    <mergeCell ref="B1355:D1355"/>
    <mergeCell ref="G1355:H1355"/>
    <mergeCell ref="K1355:L1355"/>
    <mergeCell ref="B1344:D1344"/>
    <mergeCell ref="B1345:D1345"/>
    <mergeCell ref="B1346:D1346"/>
    <mergeCell ref="B1347:D1347"/>
    <mergeCell ref="B1348:D1348"/>
    <mergeCell ref="B1349:D1349"/>
    <mergeCell ref="B1338:D1338"/>
    <mergeCell ref="B1339:D1339"/>
    <mergeCell ref="B1340:D1340"/>
    <mergeCell ref="B1341:D1341"/>
    <mergeCell ref="B1342:D1342"/>
    <mergeCell ref="B1343:D1343"/>
    <mergeCell ref="A1351:D1352"/>
    <mergeCell ref="A1353:L1353"/>
    <mergeCell ref="B1372:D1372"/>
    <mergeCell ref="B1373:D1373"/>
    <mergeCell ref="B1374:D1374"/>
    <mergeCell ref="B1375:D1375"/>
    <mergeCell ref="B1376:D1376"/>
    <mergeCell ref="B1366:D1366"/>
    <mergeCell ref="B1367:D1367"/>
    <mergeCell ref="B1368:D1368"/>
    <mergeCell ref="B1369:D1369"/>
    <mergeCell ref="B1370:D1370"/>
    <mergeCell ref="B1371:D1371"/>
    <mergeCell ref="B1393:D1393"/>
    <mergeCell ref="C1363:D1363"/>
    <mergeCell ref="J1363:L1363"/>
    <mergeCell ref="B1364:D1364"/>
    <mergeCell ref="G1364:H1364"/>
    <mergeCell ref="K1364:L1364"/>
    <mergeCell ref="B1365:D1365"/>
    <mergeCell ref="G1393:H1393"/>
    <mergeCell ref="K1393:L1393"/>
    <mergeCell ref="A1383:L1383"/>
    <mergeCell ref="A1391:L1391"/>
    <mergeCell ref="I1387:J1387"/>
    <mergeCell ref="I1388:J1388"/>
    <mergeCell ref="B1394:D1394"/>
    <mergeCell ref="B1395:D1395"/>
    <mergeCell ref="B1396:D1396"/>
    <mergeCell ref="B1386:D1386"/>
    <mergeCell ref="B1387:D1387"/>
    <mergeCell ref="B1388:D1388"/>
    <mergeCell ref="C1392:D1392"/>
    <mergeCell ref="J1392:L1392"/>
    <mergeCell ref="C1384:D1384"/>
    <mergeCell ref="J1384:L1384"/>
    <mergeCell ref="B1385:D1385"/>
    <mergeCell ref="G1385:H1385"/>
    <mergeCell ref="K1385:L1385"/>
    <mergeCell ref="B1377:D1377"/>
    <mergeCell ref="B1378:D1378"/>
    <mergeCell ref="B1379:D1379"/>
    <mergeCell ref="B1380:D1380"/>
    <mergeCell ref="A1389:D1390"/>
    <mergeCell ref="A1381:D1382"/>
    <mergeCell ref="B1397:D1397"/>
    <mergeCell ref="B1398:D1398"/>
    <mergeCell ref="B1399:D1399"/>
    <mergeCell ref="B1400:D1400"/>
    <mergeCell ref="B1401:D1401"/>
    <mergeCell ref="B1402:D1402"/>
    <mergeCell ref="A1411:L1411"/>
    <mergeCell ref="C1428:D1428"/>
    <mergeCell ref="J1428:L1428"/>
    <mergeCell ref="B1429:D1429"/>
    <mergeCell ref="G1429:H1429"/>
    <mergeCell ref="K1429:L1429"/>
    <mergeCell ref="B1420:D1420"/>
    <mergeCell ref="B1421:D1421"/>
    <mergeCell ref="B1422:D1422"/>
    <mergeCell ref="B1423:D1423"/>
    <mergeCell ref="B1424:D1424"/>
    <mergeCell ref="B1414:D1414"/>
    <mergeCell ref="B1403:D1403"/>
    <mergeCell ref="B1404:D1404"/>
    <mergeCell ref="B1405:D1405"/>
    <mergeCell ref="B1406:D1406"/>
    <mergeCell ref="B1407:D1407"/>
    <mergeCell ref="E1410:L1410"/>
    <mergeCell ref="B1415:D1415"/>
    <mergeCell ref="B1416:D1416"/>
    <mergeCell ref="B1417:D1417"/>
    <mergeCell ref="B1418:D1418"/>
    <mergeCell ref="B1419:D1419"/>
    <mergeCell ref="A1427:L1427"/>
    <mergeCell ref="A1425:D1426"/>
    <mergeCell ref="B1408:D1408"/>
    <mergeCell ref="B1432:D1432"/>
    <mergeCell ref="B1433:D1433"/>
    <mergeCell ref="B1434:D1434"/>
    <mergeCell ref="B1435:D1435"/>
    <mergeCell ref="J1462:L1462"/>
    <mergeCell ref="C1454:D1454"/>
    <mergeCell ref="J1454:L1454"/>
    <mergeCell ref="B1455:D1455"/>
    <mergeCell ref="G1455:H1455"/>
    <mergeCell ref="K1455:L1455"/>
    <mergeCell ref="A1459:D1460"/>
    <mergeCell ref="A1447:D1448"/>
    <mergeCell ref="B1442:D1442"/>
    <mergeCell ref="B1443:D1443"/>
    <mergeCell ref="B1444:D1444"/>
    <mergeCell ref="B1441:D1441"/>
    <mergeCell ref="B1430:D1430"/>
    <mergeCell ref="B1431:D1431"/>
    <mergeCell ref="A1449:L1449"/>
    <mergeCell ref="A1461:L1461"/>
    <mergeCell ref="C1412:D1412"/>
    <mergeCell ref="J1412:L1412"/>
    <mergeCell ref="B1413:D1413"/>
    <mergeCell ref="G1413:H1413"/>
    <mergeCell ref="K1413:L1413"/>
    <mergeCell ref="B1486:D1486"/>
    <mergeCell ref="B1487:D1487"/>
    <mergeCell ref="B1445:D1445"/>
    <mergeCell ref="B1446:D1446"/>
    <mergeCell ref="B1436:D1436"/>
    <mergeCell ref="B1437:D1437"/>
    <mergeCell ref="B1438:D1438"/>
    <mergeCell ref="B1439:D1439"/>
    <mergeCell ref="B1440:D1440"/>
    <mergeCell ref="B1470:D1470"/>
    <mergeCell ref="B1480:D1480"/>
    <mergeCell ref="B1481:D1481"/>
    <mergeCell ref="B1475:D1475"/>
    <mergeCell ref="B1476:D1476"/>
    <mergeCell ref="B1477:D1477"/>
    <mergeCell ref="I1478:J1478"/>
    <mergeCell ref="B1479:D1479"/>
    <mergeCell ref="C1473:D1473"/>
    <mergeCell ref="J1473:L1473"/>
    <mergeCell ref="B1474:D1474"/>
    <mergeCell ref="G1474:H1474"/>
    <mergeCell ref="K1474:L1474"/>
    <mergeCell ref="B1463:D1463"/>
    <mergeCell ref="G1463:H1463"/>
    <mergeCell ref="K1463:L1463"/>
    <mergeCell ref="B1464:D1464"/>
    <mergeCell ref="B1465:D1465"/>
    <mergeCell ref="B1466:D1466"/>
    <mergeCell ref="B1456:D1456"/>
    <mergeCell ref="B1457:D1457"/>
    <mergeCell ref="B1458:D1458"/>
    <mergeCell ref="C1462:D1462"/>
    <mergeCell ref="C1537:D1537"/>
    <mergeCell ref="J1537:L1537"/>
    <mergeCell ref="B1530:D1530"/>
    <mergeCell ref="A1526:L1526"/>
    <mergeCell ref="B1517:D1517"/>
    <mergeCell ref="B1507:D1507"/>
    <mergeCell ref="C1511:D1511"/>
    <mergeCell ref="J1511:L1511"/>
    <mergeCell ref="B1512:D1512"/>
    <mergeCell ref="G1512:H1512"/>
    <mergeCell ref="B1503:D1503"/>
    <mergeCell ref="G1503:H1503"/>
    <mergeCell ref="K1503:L1503"/>
    <mergeCell ref="B1504:D1504"/>
    <mergeCell ref="B1505:D1505"/>
    <mergeCell ref="B1506:D1506"/>
    <mergeCell ref="B1529:D1529"/>
    <mergeCell ref="I1529:J1529"/>
    <mergeCell ref="A1508:D1509"/>
    <mergeCell ref="K1493:L1493"/>
    <mergeCell ref="B1494:D1494"/>
    <mergeCell ref="B1495:D1495"/>
    <mergeCell ref="B1496:D1496"/>
    <mergeCell ref="B1513:D1513"/>
    <mergeCell ref="B1514:D1514"/>
    <mergeCell ref="B1515:D1515"/>
    <mergeCell ref="B1516:D1516"/>
    <mergeCell ref="B1558:D1558"/>
    <mergeCell ref="G1558:H1558"/>
    <mergeCell ref="G1649:H1649"/>
    <mergeCell ref="K1649:L1649"/>
    <mergeCell ref="A1607:C1607"/>
    <mergeCell ref="D1607:L1607"/>
    <mergeCell ref="A1608:C1608"/>
    <mergeCell ref="D1608:L1608"/>
    <mergeCell ref="A1609:C1609"/>
    <mergeCell ref="D1609:L1609"/>
    <mergeCell ref="A1610:C1610"/>
    <mergeCell ref="D1610:L1610"/>
    <mergeCell ref="B1564:D1564"/>
    <mergeCell ref="I1558:J1558"/>
    <mergeCell ref="K1558:L1558"/>
    <mergeCell ref="B1560:D1560"/>
    <mergeCell ref="B1586:D1586"/>
    <mergeCell ref="B1587:D1587"/>
    <mergeCell ref="F1640:F1641"/>
    <mergeCell ref="G1640:J1640"/>
    <mergeCell ref="G1641:J1641"/>
    <mergeCell ref="C1648:D1648"/>
    <mergeCell ref="J1648:L1648"/>
    <mergeCell ref="B1592:D1592"/>
    <mergeCell ref="B1593:D1593"/>
    <mergeCell ref="B1594:D1594"/>
    <mergeCell ref="F1595:F1596"/>
    <mergeCell ref="G1595:J1595"/>
    <mergeCell ref="G1596:J1596"/>
    <mergeCell ref="G1621:J1621"/>
    <mergeCell ref="A1625:L1625"/>
    <mergeCell ref="G1614:H1614"/>
    <mergeCell ref="B1638:D1638"/>
    <mergeCell ref="B1634:D1634"/>
    <mergeCell ref="C1626:D1626"/>
    <mergeCell ref="J1626:L1626"/>
    <mergeCell ref="B1627:D1627"/>
    <mergeCell ref="G1627:H1627"/>
    <mergeCell ref="K1627:L1627"/>
    <mergeCell ref="B1624:D1624"/>
    <mergeCell ref="B1650:D1650"/>
    <mergeCell ref="B1651:D1651"/>
    <mergeCell ref="B1652:D1652"/>
    <mergeCell ref="F1620:F1621"/>
    <mergeCell ref="K1614:L1614"/>
    <mergeCell ref="G1683:I1683"/>
    <mergeCell ref="C1697:D1697"/>
    <mergeCell ref="A1684:L1686"/>
    <mergeCell ref="A1696:L1696"/>
    <mergeCell ref="B1683:D1683"/>
    <mergeCell ref="J1688:L1688"/>
    <mergeCell ref="G1690:H1690"/>
    <mergeCell ref="C1688:D1688"/>
    <mergeCell ref="J1692:L1692"/>
    <mergeCell ref="B1693:D1693"/>
    <mergeCell ref="I1693:J1693"/>
    <mergeCell ref="C1679:D1679"/>
    <mergeCell ref="J1679:L1679"/>
    <mergeCell ref="B1680:D1680"/>
    <mergeCell ref="I1680:J1680"/>
    <mergeCell ref="K1680:L1680"/>
    <mergeCell ref="A1670:C1670"/>
    <mergeCell ref="D1670:L1670"/>
    <mergeCell ref="A1671:C1671"/>
    <mergeCell ref="D1671:L1671"/>
    <mergeCell ref="A1672:C1672"/>
    <mergeCell ref="D1672:L1672"/>
    <mergeCell ref="A1675:C1675"/>
    <mergeCell ref="D1675:L1675"/>
    <mergeCell ref="A1676:C1676"/>
    <mergeCell ref="D1676:L1676"/>
    <mergeCell ref="K1693:L1693"/>
    <mergeCell ref="B1694:D1694"/>
    <mergeCell ref="I1694:J1694"/>
    <mergeCell ref="G1689:H1689"/>
    <mergeCell ref="K1689:L1689"/>
    <mergeCell ref="B1681:D1681"/>
    <mergeCell ref="I1762:J1762"/>
    <mergeCell ref="K1762:L1762"/>
    <mergeCell ref="B1706:D1706"/>
    <mergeCell ref="B1699:D1699"/>
    <mergeCell ref="B1700:D1700"/>
    <mergeCell ref="B1701:D1701"/>
    <mergeCell ref="B1702:D1702"/>
    <mergeCell ref="F1704:F1705"/>
    <mergeCell ref="G1704:J1704"/>
    <mergeCell ref="G1705:J1705"/>
    <mergeCell ref="B1712:D1712"/>
    <mergeCell ref="I1712:J1712"/>
    <mergeCell ref="B1713:D1713"/>
    <mergeCell ref="C1725:D1725"/>
    <mergeCell ref="J1725:L1725"/>
    <mergeCell ref="C1710:D1710"/>
    <mergeCell ref="J1710:L1710"/>
    <mergeCell ref="B1711:D1711"/>
    <mergeCell ref="C1720:D1720"/>
    <mergeCell ref="J1720:L1720"/>
    <mergeCell ref="A1724:L1724"/>
    <mergeCell ref="B1721:D1721"/>
    <mergeCell ref="G1721:H1721"/>
    <mergeCell ref="J1715:L1715"/>
    <mergeCell ref="A1734:L1734"/>
    <mergeCell ref="A1744:L1744"/>
    <mergeCell ref="A1750:L1750"/>
    <mergeCell ref="A1729:L1729"/>
    <mergeCell ref="B1738:D1738"/>
    <mergeCell ref="B1733:D1733"/>
    <mergeCell ref="B1757:D1757"/>
    <mergeCell ref="I1757:J1757"/>
    <mergeCell ref="C1761:D1761"/>
    <mergeCell ref="J1761:L1761"/>
    <mergeCell ref="B1731:D1731"/>
    <mergeCell ref="I1727:J1727"/>
    <mergeCell ref="I1737:J1737"/>
    <mergeCell ref="B1727:D1727"/>
    <mergeCell ref="B1736:D1736"/>
    <mergeCell ref="I1736:J1736"/>
    <mergeCell ref="K1736:L1736"/>
    <mergeCell ref="B1737:D1737"/>
    <mergeCell ref="C1740:D1740"/>
    <mergeCell ref="J1740:L1740"/>
    <mergeCell ref="B1741:D1741"/>
    <mergeCell ref="I1741:J1741"/>
    <mergeCell ref="B1716:D1716"/>
    <mergeCell ref="J1745:L1745"/>
    <mergeCell ref="B1726:D1726"/>
    <mergeCell ref="I1726:J1726"/>
    <mergeCell ref="K1721:L1721"/>
    <mergeCell ref="G1711:H1711"/>
    <mergeCell ref="I1721:J1721"/>
    <mergeCell ref="G1769:I1769"/>
    <mergeCell ref="J1755:L1755"/>
    <mergeCell ref="B1746:D1746"/>
    <mergeCell ref="I1746:J1746"/>
    <mergeCell ref="K1746:L1746"/>
    <mergeCell ref="B1747:D1747"/>
    <mergeCell ref="I1747:J1747"/>
    <mergeCell ref="A1760:L1760"/>
    <mergeCell ref="C1766:D1766"/>
    <mergeCell ref="J1766:L1766"/>
    <mergeCell ref="B1767:D1767"/>
    <mergeCell ref="K1767:L1767"/>
    <mergeCell ref="K1756:L1756"/>
    <mergeCell ref="I1756:J1756"/>
    <mergeCell ref="I1758:J1758"/>
    <mergeCell ref="G1756:H1756"/>
    <mergeCell ref="B1756:D1756"/>
    <mergeCell ref="B1759:D1759"/>
    <mergeCell ref="B1763:D1763"/>
    <mergeCell ref="I1763:J1763"/>
    <mergeCell ref="B1764:D1764"/>
    <mergeCell ref="A1765:L1765"/>
    <mergeCell ref="I1767:J1767"/>
    <mergeCell ref="B1758:D1758"/>
    <mergeCell ref="B1752:D1752"/>
    <mergeCell ref="G1752:H1752"/>
    <mergeCell ref="K1752:L1752"/>
    <mergeCell ref="B1753:D1753"/>
    <mergeCell ref="G1753:H1753"/>
    <mergeCell ref="B1762:D1762"/>
    <mergeCell ref="C1775:D1775"/>
    <mergeCell ref="J1775:L1775"/>
    <mergeCell ref="B1776:D1776"/>
    <mergeCell ref="G1776:H1776"/>
    <mergeCell ref="K1776:L1776"/>
    <mergeCell ref="B1773:D1773"/>
    <mergeCell ref="G1773:H1773"/>
    <mergeCell ref="A1774:L1774"/>
    <mergeCell ref="G1772:H1772"/>
    <mergeCell ref="K1772:L1772"/>
    <mergeCell ref="B1772:D1772"/>
    <mergeCell ref="A1770:L1770"/>
    <mergeCell ref="C1771:D1771"/>
    <mergeCell ref="J1771:L1771"/>
    <mergeCell ref="B1791:D1791"/>
    <mergeCell ref="B1792:D1792"/>
    <mergeCell ref="B1793:D1793"/>
    <mergeCell ref="I1776:J1776"/>
    <mergeCell ref="I1777:J1777"/>
    <mergeCell ref="I1778:J1778"/>
    <mergeCell ref="I1779:J1779"/>
    <mergeCell ref="B1780:D1780"/>
    <mergeCell ref="B1781:D1781"/>
    <mergeCell ref="I1781:J1781"/>
    <mergeCell ref="I1780:J1780"/>
    <mergeCell ref="C1832:D1832"/>
    <mergeCell ref="J1832:L1832"/>
    <mergeCell ref="B1821:D1821"/>
    <mergeCell ref="B1822:D1822"/>
    <mergeCell ref="B1794:D1794"/>
    <mergeCell ref="B1795:D1795"/>
    <mergeCell ref="B1796:D1796"/>
    <mergeCell ref="G1783:J1783"/>
    <mergeCell ref="G1784:J1784"/>
    <mergeCell ref="C1789:D1789"/>
    <mergeCell ref="J1789:L1789"/>
    <mergeCell ref="B1790:D1790"/>
    <mergeCell ref="G1790:H1790"/>
    <mergeCell ref="K1790:L1790"/>
    <mergeCell ref="B1777:D1777"/>
    <mergeCell ref="B1778:D1778"/>
    <mergeCell ref="B1779:D1779"/>
    <mergeCell ref="B1782:D1782"/>
    <mergeCell ref="B1783:D1783"/>
    <mergeCell ref="F1783:F1784"/>
    <mergeCell ref="A1788:L1788"/>
    <mergeCell ref="B1797:D1797"/>
    <mergeCell ref="F1798:F1799"/>
    <mergeCell ref="G1798:J1798"/>
    <mergeCell ref="G1799:J1799"/>
    <mergeCell ref="C1804:D1804"/>
    <mergeCell ref="J1804:L1804"/>
    <mergeCell ref="B1808:D1808"/>
    <mergeCell ref="B1809:D1809"/>
    <mergeCell ref="B1810:D1810"/>
    <mergeCell ref="B1812:D1812"/>
    <mergeCell ref="F1813:F1814"/>
    <mergeCell ref="G1813:J1813"/>
    <mergeCell ref="G1814:J1814"/>
    <mergeCell ref="F1827:F1828"/>
    <mergeCell ref="G1827:J1827"/>
    <mergeCell ref="C1819:D1819"/>
    <mergeCell ref="J1819:L1819"/>
    <mergeCell ref="B1820:D1820"/>
    <mergeCell ref="G1820:H1820"/>
    <mergeCell ref="K1820:L1820"/>
    <mergeCell ref="B1805:D1805"/>
    <mergeCell ref="G1805:H1805"/>
    <mergeCell ref="K1805:L1805"/>
    <mergeCell ref="B1806:D1806"/>
    <mergeCell ref="B1811:D1811"/>
    <mergeCell ref="B1807:D1807"/>
    <mergeCell ref="G1828:J1828"/>
    <mergeCell ref="B1889:D1889"/>
    <mergeCell ref="G1833:H1833"/>
    <mergeCell ref="B1844:D1844"/>
    <mergeCell ref="I1833:J1833"/>
    <mergeCell ref="B1852:D1852"/>
    <mergeCell ref="I1851:J1851"/>
    <mergeCell ref="K1851:L1851"/>
    <mergeCell ref="B1843:D1843"/>
    <mergeCell ref="G1843:H1843"/>
    <mergeCell ref="K1861:L1861"/>
    <mergeCell ref="B1834:D1834"/>
    <mergeCell ref="I1834:J1834"/>
    <mergeCell ref="I1861:J1861"/>
    <mergeCell ref="G1871:H1871"/>
    <mergeCell ref="I1871:J1871"/>
    <mergeCell ref="K1871:L1871"/>
    <mergeCell ref="J1880:L1880"/>
    <mergeCell ref="B1897:D1897"/>
    <mergeCell ref="B1891:D1891"/>
    <mergeCell ref="B1892:D1892"/>
    <mergeCell ref="B1893:D1893"/>
    <mergeCell ref="B1894:D1894"/>
    <mergeCell ref="A1874:L1874"/>
    <mergeCell ref="K1887:L1887"/>
    <mergeCell ref="B1883:D1883"/>
    <mergeCell ref="B1881:D1881"/>
    <mergeCell ref="G1881:H1881"/>
    <mergeCell ref="I1881:J1881"/>
    <mergeCell ref="K1881:L1881"/>
    <mergeCell ref="B1882:D1882"/>
    <mergeCell ref="I1882:J1882"/>
    <mergeCell ref="B1895:D1895"/>
    <mergeCell ref="C1886:D1886"/>
    <mergeCell ref="J1886:L1886"/>
    <mergeCell ref="B1887:D1887"/>
    <mergeCell ref="G1887:H1887"/>
    <mergeCell ref="C1880:D1880"/>
    <mergeCell ref="B1890:D1890"/>
    <mergeCell ref="B1878:D1878"/>
    <mergeCell ref="A1879:L1879"/>
    <mergeCell ref="I1876:J1876"/>
    <mergeCell ref="K1876:L1876"/>
    <mergeCell ref="B1877:D1877"/>
    <mergeCell ref="I1877:J1877"/>
    <mergeCell ref="B1873:D1873"/>
    <mergeCell ref="B1868:D1868"/>
    <mergeCell ref="C1914:D1914"/>
    <mergeCell ref="J1914:L1914"/>
    <mergeCell ref="G1910:J1910"/>
    <mergeCell ref="B1912:D1912"/>
    <mergeCell ref="A1913:L1913"/>
    <mergeCell ref="C1904:D1904"/>
    <mergeCell ref="J1904:L1904"/>
    <mergeCell ref="B1905:D1905"/>
    <mergeCell ref="G1905:H1905"/>
    <mergeCell ref="B1838:D1838"/>
    <mergeCell ref="G1838:H1838"/>
    <mergeCell ref="I1838:J1838"/>
    <mergeCell ref="K1838:L1838"/>
    <mergeCell ref="F1845:F1846"/>
    <mergeCell ref="G1845:J1845"/>
    <mergeCell ref="G1846:J1846"/>
    <mergeCell ref="B1856:D1856"/>
    <mergeCell ref="I1856:J1856"/>
    <mergeCell ref="K1856:L1856"/>
    <mergeCell ref="B1857:D1857"/>
    <mergeCell ref="I1857:J1857"/>
    <mergeCell ref="B1858:D1858"/>
    <mergeCell ref="I1852:J1852"/>
    <mergeCell ref="B1853:D1853"/>
    <mergeCell ref="A1849:L1849"/>
    <mergeCell ref="A1903:L1903"/>
    <mergeCell ref="G1898:J1898"/>
    <mergeCell ref="G1899:J1899"/>
    <mergeCell ref="A1885:L1885"/>
    <mergeCell ref="G1902:I1902"/>
    <mergeCell ref="A1864:L1864"/>
    <mergeCell ref="K1843:L1843"/>
    <mergeCell ref="G1932:H1932"/>
    <mergeCell ref="K1932:L1932"/>
    <mergeCell ref="B1915:D1915"/>
    <mergeCell ref="G1915:H1915"/>
    <mergeCell ref="K1915:L1915"/>
    <mergeCell ref="A1930:L1930"/>
    <mergeCell ref="F1979:F1980"/>
    <mergeCell ref="G1969:H1969"/>
    <mergeCell ref="B1969:D1969"/>
    <mergeCell ref="B1944:D1944"/>
    <mergeCell ref="B1946:D1946"/>
    <mergeCell ref="B1947:D1947"/>
    <mergeCell ref="B1951:D1951"/>
    <mergeCell ref="B1970:D1970"/>
    <mergeCell ref="J1968:L1968"/>
    <mergeCell ref="B1936:D1936"/>
    <mergeCell ref="F1937:F1938"/>
    <mergeCell ref="K1943:L1943"/>
    <mergeCell ref="B1933:D1933"/>
    <mergeCell ref="B1934:D1934"/>
    <mergeCell ref="B1935:D1935"/>
    <mergeCell ref="B1916:D1916"/>
    <mergeCell ref="B1922:D1922"/>
    <mergeCell ref="B1923:D1923"/>
    <mergeCell ref="B1924:D1924"/>
    <mergeCell ref="B1943:D1943"/>
    <mergeCell ref="I1872:J1872"/>
    <mergeCell ref="B1888:D1888"/>
    <mergeCell ref="B1871:D1871"/>
    <mergeCell ref="B1872:D1872"/>
    <mergeCell ref="B1908:D1908"/>
    <mergeCell ref="F1909:F1910"/>
    <mergeCell ref="G1909:J1909"/>
    <mergeCell ref="J1942:L1942"/>
    <mergeCell ref="K1969:L1969"/>
    <mergeCell ref="B1961:D1961"/>
    <mergeCell ref="C1958:D1958"/>
    <mergeCell ref="B1988:D1988"/>
    <mergeCell ref="B1989:D1989"/>
    <mergeCell ref="B1990:D1990"/>
    <mergeCell ref="B1987:D1987"/>
    <mergeCell ref="B1991:D1991"/>
    <mergeCell ref="B1975:D1975"/>
    <mergeCell ref="J1997:L1997"/>
    <mergeCell ref="A2039:L2039"/>
    <mergeCell ref="C2063:D2063"/>
    <mergeCell ref="J2063:L2063"/>
    <mergeCell ref="B2055:D2055"/>
    <mergeCell ref="B2056:D2056"/>
    <mergeCell ref="B2057:D2057"/>
    <mergeCell ref="G2058:J2058"/>
    <mergeCell ref="B2051:D2051"/>
    <mergeCell ref="G2051:H2051"/>
    <mergeCell ref="K2051:L2051"/>
    <mergeCell ref="C2031:D2031"/>
    <mergeCell ref="J2031:L2031"/>
    <mergeCell ref="G2021:J2021"/>
    <mergeCell ref="G2022:J2022"/>
    <mergeCell ref="C2026:D2026"/>
    <mergeCell ref="A1984:L1984"/>
    <mergeCell ref="B2044:D2044"/>
    <mergeCell ref="I2035:J2035"/>
    <mergeCell ref="B2104:D2104"/>
    <mergeCell ref="B2105:D2105"/>
    <mergeCell ref="B2106:D2106"/>
    <mergeCell ref="A2095:C2095"/>
    <mergeCell ref="D2095:L2095"/>
    <mergeCell ref="A2096:C2096"/>
    <mergeCell ref="D2096:L2096"/>
    <mergeCell ref="A2097:C2097"/>
    <mergeCell ref="D2097:L2097"/>
    <mergeCell ref="A2098:C2098"/>
    <mergeCell ref="D2098:L2098"/>
    <mergeCell ref="A2099:C2099"/>
    <mergeCell ref="D2099:L2099"/>
    <mergeCell ref="A2100:C2100"/>
    <mergeCell ref="D2100:L2100"/>
    <mergeCell ref="A2101:L2101"/>
    <mergeCell ref="A2093:C2093"/>
    <mergeCell ref="D2093:L2093"/>
    <mergeCell ref="A2092:C2092"/>
    <mergeCell ref="B2107:D2107"/>
    <mergeCell ref="B2108:D2108"/>
    <mergeCell ref="F2109:F2110"/>
    <mergeCell ref="C2102:D2102"/>
    <mergeCell ref="J2102:L2102"/>
    <mergeCell ref="B2103:D2103"/>
    <mergeCell ref="G2103:H2103"/>
    <mergeCell ref="K2103:L2103"/>
    <mergeCell ref="G2124:J2124"/>
    <mergeCell ref="G2125:J2125"/>
    <mergeCell ref="B2126:D2126"/>
    <mergeCell ref="C2132:D2132"/>
    <mergeCell ref="J2132:L2132"/>
    <mergeCell ref="B2119:D2119"/>
    <mergeCell ref="B2120:D2120"/>
    <mergeCell ref="B2121:D2121"/>
    <mergeCell ref="B2122:D2122"/>
    <mergeCell ref="B2123:D2123"/>
    <mergeCell ref="F2124:F2125"/>
    <mergeCell ref="G2109:J2109"/>
    <mergeCell ref="G2110:J2110"/>
    <mergeCell ref="C2117:D2117"/>
    <mergeCell ref="J2117:L2117"/>
    <mergeCell ref="B2118:D2118"/>
    <mergeCell ref="G2118:H2118"/>
    <mergeCell ref="K2118:L2118"/>
    <mergeCell ref="A2116:L2116"/>
    <mergeCell ref="A2131:L2131"/>
    <mergeCell ref="B2111:D2111"/>
    <mergeCell ref="B2124:D2124"/>
    <mergeCell ref="F2113:I2113"/>
    <mergeCell ref="F2128:I2128"/>
    <mergeCell ref="B2139:D2139"/>
    <mergeCell ref="C2141:D2141"/>
    <mergeCell ref="J2141:L2141"/>
    <mergeCell ref="B2142:D2142"/>
    <mergeCell ref="G2142:H2142"/>
    <mergeCell ref="I2142:J2142"/>
    <mergeCell ref="K2142:L2142"/>
    <mergeCell ref="B2135:D2135"/>
    <mergeCell ref="I2135:J2135"/>
    <mergeCell ref="B2136:D2136"/>
    <mergeCell ref="I2136:J2136"/>
    <mergeCell ref="B2137:D2137"/>
    <mergeCell ref="I2137:J2137"/>
    <mergeCell ref="B2133:D2133"/>
    <mergeCell ref="G2133:H2133"/>
    <mergeCell ref="I2133:J2133"/>
    <mergeCell ref="K2133:L2133"/>
    <mergeCell ref="B2134:D2134"/>
    <mergeCell ref="I2134:J2134"/>
    <mergeCell ref="A2140:L2140"/>
    <mergeCell ref="B2151:D2151"/>
    <mergeCell ref="G2151:H2151"/>
    <mergeCell ref="K2151:L2151"/>
    <mergeCell ref="B2152:D2152"/>
    <mergeCell ref="B2153:D2153"/>
    <mergeCell ref="B2154:D2154"/>
    <mergeCell ref="B2146:D2146"/>
    <mergeCell ref="I2146:J2146"/>
    <mergeCell ref="B2148:D2148"/>
    <mergeCell ref="C2150:D2150"/>
    <mergeCell ref="J2150:L2150"/>
    <mergeCell ref="B2143:D2143"/>
    <mergeCell ref="I2143:J2143"/>
    <mergeCell ref="B2144:D2144"/>
    <mergeCell ref="I2144:J2144"/>
    <mergeCell ref="B2145:D2145"/>
    <mergeCell ref="I2145:J2145"/>
    <mergeCell ref="A2149:L2149"/>
    <mergeCell ref="B2160:D2160"/>
    <mergeCell ref="B2161:D2161"/>
    <mergeCell ref="B2162:D2162"/>
    <mergeCell ref="B2163:D2163"/>
    <mergeCell ref="F2164:F2165"/>
    <mergeCell ref="G2164:J2164"/>
    <mergeCell ref="G2165:J2165"/>
    <mergeCell ref="B2155:D2155"/>
    <mergeCell ref="B2156:D2156"/>
    <mergeCell ref="B2157:D2157"/>
    <mergeCell ref="B2158:D2158"/>
    <mergeCell ref="B2159:D2159"/>
    <mergeCell ref="A2172:C2172"/>
    <mergeCell ref="D2172:L2172"/>
    <mergeCell ref="C2179:D2179"/>
    <mergeCell ref="J2179:L2179"/>
    <mergeCell ref="B2180:D2180"/>
    <mergeCell ref="G2180:H2180"/>
    <mergeCell ref="K2180:L2180"/>
    <mergeCell ref="A2169:C2169"/>
    <mergeCell ref="D2169:L2169"/>
    <mergeCell ref="A2170:C2170"/>
    <mergeCell ref="D2170:L2170"/>
    <mergeCell ref="A2171:C2171"/>
    <mergeCell ref="D2171:L2171"/>
    <mergeCell ref="A2173:C2173"/>
    <mergeCell ref="D2173:L2173"/>
    <mergeCell ref="A2174:C2174"/>
    <mergeCell ref="D2174:L2174"/>
    <mergeCell ref="A2175:C2175"/>
    <mergeCell ref="D2175:L2175"/>
    <mergeCell ref="A2176:C2176"/>
    <mergeCell ref="C2201:D2201"/>
    <mergeCell ref="J2201:L2201"/>
    <mergeCell ref="B2202:D2202"/>
    <mergeCell ref="G2202:H2202"/>
    <mergeCell ref="K2202:L2202"/>
    <mergeCell ref="B2203:D2203"/>
    <mergeCell ref="D2176:L2176"/>
    <mergeCell ref="A2177:C2177"/>
    <mergeCell ref="D2177:L2177"/>
    <mergeCell ref="B2193:D2193"/>
    <mergeCell ref="F2193:F2194"/>
    <mergeCell ref="G2193:J2193"/>
    <mergeCell ref="G2194:J2194"/>
    <mergeCell ref="B2187:D2187"/>
    <mergeCell ref="B2188:D2188"/>
    <mergeCell ref="B2189:D2189"/>
    <mergeCell ref="B2190:D2190"/>
    <mergeCell ref="B2191:D2191"/>
    <mergeCell ref="B2192:D2192"/>
    <mergeCell ref="B2181:D2181"/>
    <mergeCell ref="B2182:D2182"/>
    <mergeCell ref="B2183:D2183"/>
    <mergeCell ref="B2184:D2184"/>
    <mergeCell ref="B2185:D2185"/>
    <mergeCell ref="B2186:D2186"/>
    <mergeCell ref="A2178:L2178"/>
    <mergeCell ref="A2200:L2200"/>
    <mergeCell ref="F2197:I2197"/>
    <mergeCell ref="B2208:D2208"/>
    <mergeCell ref="B2209:D2209"/>
    <mergeCell ref="B2210:D2210"/>
    <mergeCell ref="B2211:D2211"/>
    <mergeCell ref="B2212:D2212"/>
    <mergeCell ref="B2213:D2213"/>
    <mergeCell ref="F2215:F2216"/>
    <mergeCell ref="G2215:J2215"/>
    <mergeCell ref="G2216:J2216"/>
    <mergeCell ref="B2222:D2222"/>
    <mergeCell ref="G2222:H2222"/>
    <mergeCell ref="K2222:L2222"/>
    <mergeCell ref="B2223:D2223"/>
    <mergeCell ref="B2224:D2224"/>
    <mergeCell ref="B2225:D2225"/>
    <mergeCell ref="C2221:D2221"/>
    <mergeCell ref="J2221:L2221"/>
    <mergeCell ref="A2220:L2220"/>
    <mergeCell ref="B2226:D2226"/>
    <mergeCell ref="B2230:D2230"/>
    <mergeCell ref="B2231:D2231"/>
    <mergeCell ref="B2232:D2232"/>
    <mergeCell ref="F2233:F2234"/>
    <mergeCell ref="A2238:L2238"/>
    <mergeCell ref="B2247:D2247"/>
    <mergeCell ref="F2248:F2249"/>
    <mergeCell ref="G2248:J2248"/>
    <mergeCell ref="G2249:J2249"/>
    <mergeCell ref="B2241:D2241"/>
    <mergeCell ref="B2242:D2242"/>
    <mergeCell ref="B2243:D2243"/>
    <mergeCell ref="B2244:D2244"/>
    <mergeCell ref="B2245:D2245"/>
    <mergeCell ref="B2246:D2246"/>
    <mergeCell ref="B2227:D2227"/>
    <mergeCell ref="B2228:D2228"/>
    <mergeCell ref="B2229:D2229"/>
    <mergeCell ref="G2403:H2403"/>
    <mergeCell ref="K2403:L2403"/>
    <mergeCell ref="A2357:L2357"/>
    <mergeCell ref="B2360:D2360"/>
    <mergeCell ref="B2361:D2361"/>
    <mergeCell ref="B2363:D2363"/>
    <mergeCell ref="C2389:D2389"/>
    <mergeCell ref="J2389:L2389"/>
    <mergeCell ref="G2356:I2356"/>
    <mergeCell ref="I2403:J2403"/>
    <mergeCell ref="B2412:D2412"/>
    <mergeCell ref="I2410:J2410"/>
    <mergeCell ref="B2266:D2266"/>
    <mergeCell ref="B2256:D2256"/>
    <mergeCell ref="G2233:J2233"/>
    <mergeCell ref="G2234:J2234"/>
    <mergeCell ref="A2253:L2253"/>
    <mergeCell ref="B2257:D2257"/>
    <mergeCell ref="B2258:D2258"/>
    <mergeCell ref="B2259:D2259"/>
    <mergeCell ref="B2260:D2260"/>
    <mergeCell ref="C2254:D2254"/>
    <mergeCell ref="J2254:L2254"/>
    <mergeCell ref="B2255:D2255"/>
    <mergeCell ref="G2255:H2255"/>
    <mergeCell ref="A2307:L2307"/>
    <mergeCell ref="B2309:D2309"/>
    <mergeCell ref="C2308:D2308"/>
    <mergeCell ref="I2323:J2323"/>
    <mergeCell ref="K2320:L2320"/>
    <mergeCell ref="B2332:D2332"/>
    <mergeCell ref="I2333:J2333"/>
    <mergeCell ref="C2448:D2448"/>
    <mergeCell ref="J2448:L2448"/>
    <mergeCell ref="A2461:L2461"/>
    <mergeCell ref="J2455:L2455"/>
    <mergeCell ref="B2456:D2456"/>
    <mergeCell ref="G2456:H2456"/>
    <mergeCell ref="K2456:L2456"/>
    <mergeCell ref="I2458:J2458"/>
    <mergeCell ref="I2456:J2456"/>
    <mergeCell ref="C2462:D2462"/>
    <mergeCell ref="J2462:L2462"/>
    <mergeCell ref="I2463:J2463"/>
    <mergeCell ref="B2463:D2463"/>
    <mergeCell ref="B2267:D2267"/>
    <mergeCell ref="F2268:F2269"/>
    <mergeCell ref="G2268:J2268"/>
    <mergeCell ref="G2269:J2269"/>
    <mergeCell ref="C2274:D2274"/>
    <mergeCell ref="J2274:L2274"/>
    <mergeCell ref="B2275:D2275"/>
    <mergeCell ref="K2275:L2275"/>
    <mergeCell ref="B2427:D2427"/>
    <mergeCell ref="B2362:D2362"/>
    <mergeCell ref="B2381:D2381"/>
    <mergeCell ref="B2382:D2382"/>
    <mergeCell ref="B2383:D2383"/>
    <mergeCell ref="B2384:D2384"/>
    <mergeCell ref="B2376:D2376"/>
    <mergeCell ref="A2373:L2373"/>
    <mergeCell ref="I2425:J2425"/>
    <mergeCell ref="K2425:L2425"/>
    <mergeCell ref="B2354:D2354"/>
    <mergeCell ref="B2486:D2486"/>
    <mergeCell ref="B2487:D2487"/>
    <mergeCell ref="C2477:D2477"/>
    <mergeCell ref="B2480:D2480"/>
    <mergeCell ref="B2484:D2484"/>
    <mergeCell ref="D2500:L2500"/>
    <mergeCell ref="B2485:D2485"/>
    <mergeCell ref="A2502:C2502"/>
    <mergeCell ref="B2473:D2473"/>
    <mergeCell ref="G2498:I2498"/>
    <mergeCell ref="G2494:J2494"/>
    <mergeCell ref="B2479:D2479"/>
    <mergeCell ref="I2479:J2479"/>
    <mergeCell ref="A2471:L2471"/>
    <mergeCell ref="A2438:L2438"/>
    <mergeCell ref="A2447:L2447"/>
    <mergeCell ref="K2463:L2463"/>
    <mergeCell ref="B2457:D2457"/>
    <mergeCell ref="B2458:D2458"/>
    <mergeCell ref="B2459:D2459"/>
    <mergeCell ref="C2455:D2455"/>
    <mergeCell ref="B2449:D2449"/>
    <mergeCell ref="G2449:H2449"/>
    <mergeCell ref="I2449:J2449"/>
    <mergeCell ref="K2449:L2449"/>
    <mergeCell ref="B2440:D2440"/>
    <mergeCell ref="G2440:H2440"/>
    <mergeCell ref="K2440:L2440"/>
    <mergeCell ref="B2441:D2441"/>
    <mergeCell ref="F2442:F2443"/>
    <mergeCell ref="G2442:J2442"/>
    <mergeCell ref="G2443:J2443"/>
    <mergeCell ref="G2463:H2463"/>
    <mergeCell ref="A2466:L2466"/>
    <mergeCell ref="B2465:D2465"/>
    <mergeCell ref="C2510:D2510"/>
    <mergeCell ref="B2512:D2512"/>
    <mergeCell ref="I2512:J2512"/>
    <mergeCell ref="B2513:D2513"/>
    <mergeCell ref="A2506:C2506"/>
    <mergeCell ref="A2508:C2508"/>
    <mergeCell ref="D2501:L2501"/>
    <mergeCell ref="J2477:L2477"/>
    <mergeCell ref="B2478:D2478"/>
    <mergeCell ref="C2482:D2482"/>
    <mergeCell ref="G2496:I2496"/>
    <mergeCell ref="B2464:D2464"/>
    <mergeCell ref="J2472:L2472"/>
    <mergeCell ref="C2467:D2467"/>
    <mergeCell ref="J2467:L2467"/>
    <mergeCell ref="F2493:F2494"/>
    <mergeCell ref="K2483:L2483"/>
    <mergeCell ref="A2481:L2481"/>
    <mergeCell ref="A2505:C2505"/>
    <mergeCell ref="D2505:L2505"/>
    <mergeCell ref="B2469:D2469"/>
    <mergeCell ref="I2469:J2469"/>
    <mergeCell ref="B2489:D2489"/>
    <mergeCell ref="B2490:D2490"/>
    <mergeCell ref="B2470:D2470"/>
    <mergeCell ref="C2472:D2472"/>
    <mergeCell ref="B2468:D2468"/>
    <mergeCell ref="I2468:J2468"/>
    <mergeCell ref="K2468:L2468"/>
    <mergeCell ref="B2620:D2620"/>
    <mergeCell ref="G2621:J2621"/>
    <mergeCell ref="G2622:J2622"/>
    <mergeCell ref="I2849:J2849"/>
    <mergeCell ref="K2848:L2848"/>
    <mergeCell ref="B2814:D2814"/>
    <mergeCell ref="A2819:L2819"/>
    <mergeCell ref="K2703:L2703"/>
    <mergeCell ref="B2700:D2700"/>
    <mergeCell ref="B2678:D2678"/>
    <mergeCell ref="A2679:L2679"/>
    <mergeCell ref="G2805:J2805"/>
    <mergeCell ref="B2849:D2849"/>
    <mergeCell ref="I2848:J2848"/>
    <mergeCell ref="J2847:L2847"/>
    <mergeCell ref="K2801:L2801"/>
    <mergeCell ref="K2789:L2789"/>
    <mergeCell ref="I2742:J2742"/>
    <mergeCell ref="J2737:L2737"/>
    <mergeCell ref="C2725:D2725"/>
    <mergeCell ref="C2680:D2680"/>
    <mergeCell ref="J2762:L2762"/>
    <mergeCell ref="B2668:D2668"/>
    <mergeCell ref="B2682:D2682"/>
    <mergeCell ref="A2777:L2777"/>
    <mergeCell ref="A2787:L2787"/>
    <mergeCell ref="G2721:I2721"/>
    <mergeCell ref="G2747:I2747"/>
    <mergeCell ref="G2774:I2774"/>
    <mergeCell ref="G2624:I2624"/>
    <mergeCell ref="F2621:F2622"/>
    <mergeCell ref="A2625:L2625"/>
    <mergeCell ref="A2904:C2904"/>
    <mergeCell ref="D2903:L2903"/>
    <mergeCell ref="A2902:C2902"/>
    <mergeCell ref="A2900:C2900"/>
    <mergeCell ref="D2905:L2905"/>
    <mergeCell ref="G2898:I2898"/>
    <mergeCell ref="A2901:C2901"/>
    <mergeCell ref="A2909:L2909"/>
    <mergeCell ref="A2908:C2908"/>
    <mergeCell ref="B2889:D2889"/>
    <mergeCell ref="G2895:J2895"/>
    <mergeCell ref="G2896:J2896"/>
    <mergeCell ref="B2893:D2893"/>
    <mergeCell ref="B2894:D2894"/>
    <mergeCell ref="F2895:F2896"/>
    <mergeCell ref="G2892:J2892"/>
    <mergeCell ref="B2881:D2881"/>
    <mergeCell ref="C2883:D2883"/>
    <mergeCell ref="I2885:J2885"/>
    <mergeCell ref="A2906:C2906"/>
    <mergeCell ref="J2910:L2910"/>
    <mergeCell ref="B2880:D2880"/>
    <mergeCell ref="B2917:D2917"/>
    <mergeCell ref="G2916:H2916"/>
    <mergeCell ref="D2906:L2906"/>
    <mergeCell ref="G2947:J2947"/>
    <mergeCell ref="B2991:D2991"/>
    <mergeCell ref="G2989:H2989"/>
    <mergeCell ref="I2984:J2984"/>
    <mergeCell ref="J2988:L2988"/>
    <mergeCell ref="B2918:D2918"/>
    <mergeCell ref="B2919:D2919"/>
    <mergeCell ref="K2954:L2954"/>
    <mergeCell ref="K2959:L2959"/>
    <mergeCell ref="A2962:L2962"/>
    <mergeCell ref="A2957:L2957"/>
    <mergeCell ref="B2984:D2984"/>
    <mergeCell ref="I2982:J2982"/>
    <mergeCell ref="J2958:L2958"/>
    <mergeCell ref="B2974:L2974"/>
    <mergeCell ref="I2954:J2954"/>
    <mergeCell ref="G2951:I2951"/>
    <mergeCell ref="G2964:H2964"/>
    <mergeCell ref="K2964:L2964"/>
    <mergeCell ref="J2932:L2932"/>
    <mergeCell ref="G2946:J2946"/>
    <mergeCell ref="G2921:J2921"/>
    <mergeCell ref="B2954:D2954"/>
    <mergeCell ref="B2944:D2944"/>
    <mergeCell ref="B2981:D2981"/>
    <mergeCell ref="D2907:L2907"/>
    <mergeCell ref="G2981:H2981"/>
    <mergeCell ref="J2980:L2980"/>
    <mergeCell ref="B2968:D2968"/>
    <mergeCell ref="B2967:D2967"/>
    <mergeCell ref="B2977:D2977"/>
    <mergeCell ref="I2977:J2977"/>
    <mergeCell ref="B2978:D2978"/>
    <mergeCell ref="A2979:L2979"/>
    <mergeCell ref="C2941:D2941"/>
    <mergeCell ref="I2981:J2981"/>
    <mergeCell ref="A2940:L2940"/>
    <mergeCell ref="B2955:D2955"/>
    <mergeCell ref="C2953:D2953"/>
    <mergeCell ref="B2933:D2933"/>
    <mergeCell ref="B2943:D2943"/>
    <mergeCell ref="J2915:L2915"/>
    <mergeCell ref="B2913:D2913"/>
    <mergeCell ref="B2942:D2942"/>
    <mergeCell ref="G2942:H2942"/>
    <mergeCell ref="G2920:J2920"/>
    <mergeCell ref="G2923:I2923"/>
    <mergeCell ref="G2939:I2939"/>
    <mergeCell ref="G2949:I2949"/>
    <mergeCell ref="B2959:D2959"/>
    <mergeCell ref="I2959:J2959"/>
    <mergeCell ref="B2956:D2956"/>
    <mergeCell ref="G2972:I2972"/>
    <mergeCell ref="G2973:I2973"/>
    <mergeCell ref="C2910:D2910"/>
    <mergeCell ref="A2907:C2907"/>
    <mergeCell ref="C3007:D3007"/>
    <mergeCell ref="F2969:F2970"/>
    <mergeCell ref="G2969:J2969"/>
    <mergeCell ref="G2970:J2970"/>
    <mergeCell ref="A2992:L2992"/>
    <mergeCell ref="A2987:L2987"/>
    <mergeCell ref="A2914:L2914"/>
    <mergeCell ref="K2911:L2911"/>
    <mergeCell ref="B2911:D2911"/>
    <mergeCell ref="B3009:D3009"/>
    <mergeCell ref="C2932:D2932"/>
    <mergeCell ref="I2989:J2989"/>
    <mergeCell ref="C2915:D2915"/>
    <mergeCell ref="B2916:D2916"/>
    <mergeCell ref="J2941:L2941"/>
    <mergeCell ref="B2982:D2982"/>
    <mergeCell ref="B2990:D2990"/>
    <mergeCell ref="I2990:J2990"/>
    <mergeCell ref="C2975:D2975"/>
    <mergeCell ref="J2975:L2975"/>
    <mergeCell ref="B2976:D2976"/>
    <mergeCell ref="I2976:J2976"/>
    <mergeCell ref="K2976:L2976"/>
    <mergeCell ref="G2933:H2933"/>
    <mergeCell ref="B2945:D2945"/>
    <mergeCell ref="C2958:D2958"/>
    <mergeCell ref="K2981:L2981"/>
    <mergeCell ref="I2983:J2983"/>
    <mergeCell ref="B2994:D2994"/>
    <mergeCell ref="G2994:H2994"/>
    <mergeCell ref="K2994:L2994"/>
    <mergeCell ref="A2952:L2952"/>
    <mergeCell ref="C3038:D3038"/>
    <mergeCell ref="G3023:J3023"/>
    <mergeCell ref="B2998:D2998"/>
    <mergeCell ref="B2999:D2999"/>
    <mergeCell ref="B3039:D3039"/>
    <mergeCell ref="G3039:H3039"/>
    <mergeCell ref="K3019:L3019"/>
    <mergeCell ref="B3019:D3019"/>
    <mergeCell ref="G3019:H3019"/>
    <mergeCell ref="B3020:D3020"/>
    <mergeCell ref="B3030:D3030"/>
    <mergeCell ref="B3031:D3031"/>
    <mergeCell ref="B3032:D3032"/>
    <mergeCell ref="F3023:F3024"/>
    <mergeCell ref="B2995:D2995"/>
    <mergeCell ref="B2996:D2996"/>
    <mergeCell ref="B2997:D2997"/>
    <mergeCell ref="F3001:F3002"/>
    <mergeCell ref="G3001:J3001"/>
    <mergeCell ref="G3008:H3008"/>
    <mergeCell ref="B3000:D3000"/>
    <mergeCell ref="B3021:D3021"/>
    <mergeCell ref="J3028:L3028"/>
    <mergeCell ref="B3022:D3022"/>
    <mergeCell ref="A3027:L3027"/>
    <mergeCell ref="C3018:D3018"/>
    <mergeCell ref="B3010:D3010"/>
    <mergeCell ref="B3008:D3008"/>
    <mergeCell ref="G3002:J3002"/>
    <mergeCell ref="B3011:D3011"/>
    <mergeCell ref="F3012:F3013"/>
    <mergeCell ref="J3007:L3007"/>
    <mergeCell ref="G3012:J3012"/>
    <mergeCell ref="G3013:J3013"/>
    <mergeCell ref="G3137:J3137"/>
    <mergeCell ref="J3142:L3142"/>
    <mergeCell ref="B3084:D3084"/>
    <mergeCell ref="G3097:J3097"/>
    <mergeCell ref="B3063:D3063"/>
    <mergeCell ref="F3054:F3055"/>
    <mergeCell ref="G3077:H3077"/>
    <mergeCell ref="K3077:L3077"/>
    <mergeCell ref="B3104:D3104"/>
    <mergeCell ref="C3028:D3028"/>
    <mergeCell ref="A3037:L3037"/>
    <mergeCell ref="G3029:H3029"/>
    <mergeCell ref="K3039:L3039"/>
    <mergeCell ref="B3060:D3060"/>
    <mergeCell ref="A3127:L3127"/>
    <mergeCell ref="J3102:L3102"/>
    <mergeCell ref="C3072:D3072"/>
    <mergeCell ref="F3086:F3087"/>
    <mergeCell ref="G3086:J3086"/>
    <mergeCell ref="G3087:J3087"/>
    <mergeCell ref="J3092:L3092"/>
    <mergeCell ref="B3095:D3095"/>
    <mergeCell ref="B3130:D3130"/>
    <mergeCell ref="B3131:D3131"/>
    <mergeCell ref="F3066:F3067"/>
    <mergeCell ref="G3066:J3066"/>
    <mergeCell ref="G3067:J3067"/>
    <mergeCell ref="B3064:D3064"/>
    <mergeCell ref="K3125:L3125"/>
    <mergeCell ref="B3113:D3113"/>
    <mergeCell ref="B3074:D3074"/>
    <mergeCell ref="G3074:H3074"/>
    <mergeCell ref="F3107:F3108"/>
    <mergeCell ref="B3082:D3082"/>
    <mergeCell ref="B3083:D3083"/>
    <mergeCell ref="C3102:D3102"/>
    <mergeCell ref="B3103:D3103"/>
    <mergeCell ref="G3103:H3103"/>
    <mergeCell ref="A3091:L3091"/>
    <mergeCell ref="F3097:F3098"/>
    <mergeCell ref="F3033:F3034"/>
    <mergeCell ref="B3053:D3053"/>
    <mergeCell ref="F3044:F3045"/>
    <mergeCell ref="B3051:D3051"/>
    <mergeCell ref="B3061:D3061"/>
    <mergeCell ref="A3048:L3048"/>
    <mergeCell ref="A3058:L3058"/>
    <mergeCell ref="J3049:L3049"/>
    <mergeCell ref="J3059:L3059"/>
    <mergeCell ref="B3040:D3040"/>
    <mergeCell ref="B3041:D3041"/>
    <mergeCell ref="B3042:D3042"/>
    <mergeCell ref="B3043:D3043"/>
    <mergeCell ref="K3029:L3029"/>
    <mergeCell ref="B3159:D3159"/>
    <mergeCell ref="F3160:F3161"/>
    <mergeCell ref="B3156:D3156"/>
    <mergeCell ref="B3126:D3126"/>
    <mergeCell ref="B3116:D3116"/>
    <mergeCell ref="B3117:D3117"/>
    <mergeCell ref="B3118:D3118"/>
    <mergeCell ref="B3114:D3114"/>
    <mergeCell ref="J3152:L3152"/>
    <mergeCell ref="K3153:L3153"/>
    <mergeCell ref="B3129:D3129"/>
    <mergeCell ref="G3129:H3129"/>
    <mergeCell ref="F3119:F3120"/>
    <mergeCell ref="G3119:J3119"/>
    <mergeCell ref="G3120:J3120"/>
    <mergeCell ref="F3136:F3137"/>
    <mergeCell ref="B3158:D3158"/>
    <mergeCell ref="B3157:D3157"/>
    <mergeCell ref="G3126:H3126"/>
    <mergeCell ref="G3160:J3160"/>
    <mergeCell ref="G3161:J3161"/>
    <mergeCell ref="G3139:I3139"/>
    <mergeCell ref="K3129:L3129"/>
    <mergeCell ref="B3115:D3115"/>
    <mergeCell ref="B3029:D3029"/>
    <mergeCell ref="G3045:J3045"/>
    <mergeCell ref="C3124:D3124"/>
    <mergeCell ref="J3124:L3124"/>
    <mergeCell ref="B3125:D3125"/>
    <mergeCell ref="G3125:H3125"/>
    <mergeCell ref="B3242:D3242"/>
    <mergeCell ref="I3242:J3242"/>
    <mergeCell ref="B3243:D3243"/>
    <mergeCell ref="C3245:D3245"/>
    <mergeCell ref="B3221:D3221"/>
    <mergeCell ref="G3221:H3221"/>
    <mergeCell ref="I3221:J3221"/>
    <mergeCell ref="B3222:D3222"/>
    <mergeCell ref="F3214:F3215"/>
    <mergeCell ref="G3214:J3214"/>
    <mergeCell ref="J3200:L3200"/>
    <mergeCell ref="K3201:L3201"/>
    <mergeCell ref="A3165:L3165"/>
    <mergeCell ref="C3177:D3177"/>
    <mergeCell ref="B3178:D3178"/>
    <mergeCell ref="G3178:H3178"/>
    <mergeCell ref="B3168:D3168"/>
    <mergeCell ref="B3169:D3169"/>
    <mergeCell ref="G3172:J3172"/>
    <mergeCell ref="B3209:D3209"/>
    <mergeCell ref="G3209:H3209"/>
    <mergeCell ref="A3224:L3224"/>
    <mergeCell ref="J3240:L3240"/>
    <mergeCell ref="A3244:L3244"/>
    <mergeCell ref="J3220:L3220"/>
    <mergeCell ref="B3213:D3213"/>
    <mergeCell ref="C3220:D3220"/>
    <mergeCell ref="B3223:D3223"/>
    <mergeCell ref="B3231:D3231"/>
    <mergeCell ref="G3183:I3183"/>
    <mergeCell ref="G3222:H3222"/>
    <mergeCell ref="A3184:L3184"/>
    <mergeCell ref="G3395:J3395"/>
    <mergeCell ref="C3399:D3399"/>
    <mergeCell ref="G3297:H3297"/>
    <mergeCell ref="B3292:D3292"/>
    <mergeCell ref="I3292:J3292"/>
    <mergeCell ref="B3293:D3293"/>
    <mergeCell ref="I3293:J3293"/>
    <mergeCell ref="B3294:D3294"/>
    <mergeCell ref="B3284:D3284"/>
    <mergeCell ref="F3286:F3287"/>
    <mergeCell ref="G3286:J3286"/>
    <mergeCell ref="G3287:J3287"/>
    <mergeCell ref="C3291:D3291"/>
    <mergeCell ref="J3296:L3296"/>
    <mergeCell ref="C3296:D3296"/>
    <mergeCell ref="B3297:D3297"/>
    <mergeCell ref="B3336:D3336"/>
    <mergeCell ref="B3320:D3320"/>
    <mergeCell ref="C3318:D3318"/>
    <mergeCell ref="B3319:D3319"/>
    <mergeCell ref="J3318:L3318"/>
    <mergeCell ref="B3310:D3310"/>
    <mergeCell ref="F3312:F3313"/>
    <mergeCell ref="G3312:J3312"/>
    <mergeCell ref="G3319:H3319"/>
    <mergeCell ref="B3349:D3349"/>
    <mergeCell ref="J3389:L3389"/>
    <mergeCell ref="G3374:J3374"/>
    <mergeCell ref="C3368:D3368"/>
    <mergeCell ref="B3369:D3369"/>
    <mergeCell ref="I3343:J3343"/>
    <mergeCell ref="B3380:D3380"/>
    <mergeCell ref="B3425:D3425"/>
    <mergeCell ref="J3432:L3432"/>
    <mergeCell ref="A3431:L3431"/>
    <mergeCell ref="F3415:F3416"/>
    <mergeCell ref="G3415:J3415"/>
    <mergeCell ref="G3416:J3416"/>
    <mergeCell ref="B3360:D3360"/>
    <mergeCell ref="B3361:D3361"/>
    <mergeCell ref="F3363:F3364"/>
    <mergeCell ref="G3363:J3363"/>
    <mergeCell ref="G3364:J3364"/>
    <mergeCell ref="F3404:F3405"/>
    <mergeCell ref="G3404:J3404"/>
    <mergeCell ref="G3405:J3405"/>
    <mergeCell ref="B3400:D3400"/>
    <mergeCell ref="G3400:H3400"/>
    <mergeCell ref="G3383:J3383"/>
    <mergeCell ref="G3384:J3384"/>
    <mergeCell ref="F3426:F3427"/>
    <mergeCell ref="G3426:J3426"/>
    <mergeCell ref="G3427:J3427"/>
    <mergeCell ref="C3421:D3421"/>
    <mergeCell ref="B3422:D3422"/>
    <mergeCell ref="G3422:H3422"/>
    <mergeCell ref="B3423:D3423"/>
    <mergeCell ref="B3412:D3412"/>
    <mergeCell ref="B3413:D3413"/>
    <mergeCell ref="C3432:D3432"/>
    <mergeCell ref="J3399:L3399"/>
    <mergeCell ref="J3378:L3378"/>
    <mergeCell ref="A3398:L3398"/>
    <mergeCell ref="B3390:D3390"/>
    <mergeCell ref="B3448:D3448"/>
    <mergeCell ref="G3448:H3448"/>
    <mergeCell ref="B3449:D3449"/>
    <mergeCell ref="B3450:D3450"/>
    <mergeCell ref="B3451:D3451"/>
    <mergeCell ref="B3461:D3461"/>
    <mergeCell ref="B3444:D3444"/>
    <mergeCell ref="I3444:J3444"/>
    <mergeCell ref="B3445:D3445"/>
    <mergeCell ref="C3447:D3447"/>
    <mergeCell ref="C3442:D3442"/>
    <mergeCell ref="B3443:D3443"/>
    <mergeCell ref="G3443:H3443"/>
    <mergeCell ref="I3443:J3443"/>
    <mergeCell ref="B3434:D3434"/>
    <mergeCell ref="B3435:D3435"/>
    <mergeCell ref="B3436:D3436"/>
    <mergeCell ref="F3437:F3438"/>
    <mergeCell ref="G3437:J3437"/>
    <mergeCell ref="G3438:J3438"/>
    <mergeCell ref="J3442:L3442"/>
    <mergeCell ref="J3447:L3447"/>
    <mergeCell ref="A3441:L3441"/>
    <mergeCell ref="A3446:L3446"/>
    <mergeCell ref="B3460:D3460"/>
    <mergeCell ref="B3433:D3433"/>
    <mergeCell ref="G3433:H3433"/>
    <mergeCell ref="B3424:D3424"/>
    <mergeCell ref="J3421:L3421"/>
    <mergeCell ref="B3470:D3470"/>
    <mergeCell ref="G3470:H3470"/>
    <mergeCell ref="B3471:D3471"/>
    <mergeCell ref="B3472:D3472"/>
    <mergeCell ref="B3473:D3473"/>
    <mergeCell ref="F3463:F3464"/>
    <mergeCell ref="G3463:J3463"/>
    <mergeCell ref="G3464:J3464"/>
    <mergeCell ref="C3469:D3469"/>
    <mergeCell ref="B3488:D3488"/>
    <mergeCell ref="G3488:H3488"/>
    <mergeCell ref="B3458:D3458"/>
    <mergeCell ref="G3458:H3458"/>
    <mergeCell ref="B3459:D3459"/>
    <mergeCell ref="B3462:D3462"/>
    <mergeCell ref="F3452:F3453"/>
    <mergeCell ref="G3452:J3452"/>
    <mergeCell ref="G3453:J3453"/>
    <mergeCell ref="C3457:D3457"/>
    <mergeCell ref="J3457:L3457"/>
    <mergeCell ref="J3469:L3469"/>
    <mergeCell ref="B3483:D3483"/>
    <mergeCell ref="I3483:J3483"/>
    <mergeCell ref="B3485:D3485"/>
    <mergeCell ref="C3487:D3487"/>
    <mergeCell ref="B3481:D3481"/>
    <mergeCell ref="G3481:H3481"/>
    <mergeCell ref="I3481:J3481"/>
    <mergeCell ref="B3482:D3482"/>
    <mergeCell ref="I3482:J3482"/>
    <mergeCell ref="A3456:L3456"/>
    <mergeCell ref="F3474:F3475"/>
    <mergeCell ref="G3474:J3474"/>
    <mergeCell ref="G3475:J3475"/>
    <mergeCell ref="C3480:D3480"/>
    <mergeCell ref="J3480:L3480"/>
    <mergeCell ref="J3487:L3487"/>
    <mergeCell ref="B3507:D3507"/>
    <mergeCell ref="G3507:H3507"/>
    <mergeCell ref="B3499:D3499"/>
    <mergeCell ref="G3499:H3499"/>
    <mergeCell ref="B3500:D3500"/>
    <mergeCell ref="F3501:F3502"/>
    <mergeCell ref="G3501:J3501"/>
    <mergeCell ref="G3502:J3502"/>
    <mergeCell ref="F3492:F3493"/>
    <mergeCell ref="G3492:J3492"/>
    <mergeCell ref="G3493:J3493"/>
    <mergeCell ref="C3498:D3498"/>
    <mergeCell ref="A3486:L3486"/>
    <mergeCell ref="A3497:L3497"/>
    <mergeCell ref="A3468:L3468"/>
    <mergeCell ref="A3479:L3479"/>
    <mergeCell ref="J3498:L3498"/>
    <mergeCell ref="B3489:D3489"/>
    <mergeCell ref="B3490:D3490"/>
    <mergeCell ref="B3491:D3491"/>
    <mergeCell ref="G3466:I3466"/>
    <mergeCell ref="G3477:I3477"/>
    <mergeCell ref="G3495:I3495"/>
    <mergeCell ref="B3508:D3508"/>
    <mergeCell ref="F3509:F3510"/>
    <mergeCell ref="G3509:J3509"/>
    <mergeCell ref="G3510:J3510"/>
    <mergeCell ref="C3514:D3514"/>
    <mergeCell ref="B3503:D3503"/>
    <mergeCell ref="C3506:D3506"/>
    <mergeCell ref="B3526:D3526"/>
    <mergeCell ref="F3527:F3528"/>
    <mergeCell ref="B3524:D3524"/>
    <mergeCell ref="B3525:D3525"/>
    <mergeCell ref="A3505:L3505"/>
    <mergeCell ref="A3513:L3513"/>
    <mergeCell ref="A3521:L3521"/>
    <mergeCell ref="A3531:L3531"/>
    <mergeCell ref="G3520:I3520"/>
    <mergeCell ref="G3530:I3530"/>
    <mergeCell ref="G3512:I3512"/>
    <mergeCell ref="C3538:D3538"/>
    <mergeCell ref="B3539:D3539"/>
    <mergeCell ref="G3539:H3539"/>
    <mergeCell ref="B3540:D3540"/>
    <mergeCell ref="B3534:D3534"/>
    <mergeCell ref="I3534:J3534"/>
    <mergeCell ref="B3535:D3535"/>
    <mergeCell ref="I3535:J3535"/>
    <mergeCell ref="B3536:D3536"/>
    <mergeCell ref="A3537:L3537"/>
    <mergeCell ref="A3547:L3547"/>
    <mergeCell ref="J3538:L3538"/>
    <mergeCell ref="J3548:L3548"/>
    <mergeCell ref="G3546:I3546"/>
    <mergeCell ref="G3523:H3523"/>
    <mergeCell ref="B3515:D3515"/>
    <mergeCell ref="G3515:H3515"/>
    <mergeCell ref="B3516:D3516"/>
    <mergeCell ref="F3517:F3518"/>
    <mergeCell ref="G3517:J3517"/>
    <mergeCell ref="G3518:J3518"/>
    <mergeCell ref="C3522:D3522"/>
    <mergeCell ref="J3532:L3532"/>
    <mergeCell ref="J3522:L3522"/>
    <mergeCell ref="F3556:F3557"/>
    <mergeCell ref="G3556:J3556"/>
    <mergeCell ref="G3557:J3557"/>
    <mergeCell ref="C3561:D3561"/>
    <mergeCell ref="B3551:D3551"/>
    <mergeCell ref="B3552:D3552"/>
    <mergeCell ref="B3553:D3553"/>
    <mergeCell ref="B3554:D3554"/>
    <mergeCell ref="B3555:D3555"/>
    <mergeCell ref="J3561:L3561"/>
    <mergeCell ref="A3560:L3560"/>
    <mergeCell ref="C3548:D3548"/>
    <mergeCell ref="B3549:D3549"/>
    <mergeCell ref="G3549:H3549"/>
    <mergeCell ref="B3550:D3550"/>
    <mergeCell ref="G3559:I3559"/>
    <mergeCell ref="B3541:D3541"/>
    <mergeCell ref="F3543:F3544"/>
    <mergeCell ref="G3543:J3543"/>
    <mergeCell ref="G3544:J3544"/>
    <mergeCell ref="B3567:D3567"/>
    <mergeCell ref="C3569:D3569"/>
    <mergeCell ref="B3570:D3570"/>
    <mergeCell ref="G3570:H3570"/>
    <mergeCell ref="A3568:L3568"/>
    <mergeCell ref="A3584:L3584"/>
    <mergeCell ref="J3569:L3569"/>
    <mergeCell ref="J3585:L3585"/>
    <mergeCell ref="B3564:D3564"/>
    <mergeCell ref="I3564:J3564"/>
    <mergeCell ref="B3565:D3565"/>
    <mergeCell ref="I3565:J3565"/>
    <mergeCell ref="B3566:D3566"/>
    <mergeCell ref="I3566:J3566"/>
    <mergeCell ref="B3562:D3562"/>
    <mergeCell ref="G3562:H3562"/>
    <mergeCell ref="I3562:J3562"/>
    <mergeCell ref="B3563:D3563"/>
    <mergeCell ref="I3563:J3563"/>
    <mergeCell ref="G3583:I3583"/>
    <mergeCell ref="C3585:D3585"/>
    <mergeCell ref="B3586:D3586"/>
    <mergeCell ref="G3586:H3586"/>
    <mergeCell ref="B3588:D3588"/>
    <mergeCell ref="B3577:D3577"/>
    <mergeCell ref="B3578:D3578"/>
    <mergeCell ref="F3579:F3580"/>
    <mergeCell ref="G3579:J3579"/>
    <mergeCell ref="G3580:J3580"/>
    <mergeCell ref="B3571:D3571"/>
    <mergeCell ref="B3572:D3572"/>
    <mergeCell ref="B3573:D3573"/>
    <mergeCell ref="B3574:D3574"/>
    <mergeCell ref="B3575:D3575"/>
    <mergeCell ref="B3576:D3576"/>
    <mergeCell ref="G3603:I3603"/>
    <mergeCell ref="G3611:I3611"/>
    <mergeCell ref="B3607:D3607"/>
    <mergeCell ref="F3608:F3609"/>
    <mergeCell ref="G3608:J3608"/>
    <mergeCell ref="G3609:J3609"/>
    <mergeCell ref="G3582:I3582"/>
    <mergeCell ref="G3598:H3598"/>
    <mergeCell ref="B3599:D3599"/>
    <mergeCell ref="F3600:F3601"/>
    <mergeCell ref="G3600:J3600"/>
    <mergeCell ref="G3601:J3601"/>
    <mergeCell ref="B3589:D3589"/>
    <mergeCell ref="F3591:F3592"/>
    <mergeCell ref="G3591:J3591"/>
    <mergeCell ref="G3592:J3592"/>
    <mergeCell ref="C3597:D3597"/>
    <mergeCell ref="G3594:I3594"/>
    <mergeCell ref="F3630:F3631"/>
    <mergeCell ref="G3630:J3630"/>
    <mergeCell ref="G3631:J3631"/>
    <mergeCell ref="B3654:D3654"/>
    <mergeCell ref="G3654:H3654"/>
    <mergeCell ref="I3654:J3654"/>
    <mergeCell ref="J3663:L3663"/>
    <mergeCell ref="J3658:L3658"/>
    <mergeCell ref="B3659:D3659"/>
    <mergeCell ref="G3659:H3659"/>
    <mergeCell ref="I3659:J3659"/>
    <mergeCell ref="B3660:D3660"/>
    <mergeCell ref="G3650:I3650"/>
    <mergeCell ref="J3605:L3605"/>
    <mergeCell ref="J3617:L3617"/>
    <mergeCell ref="J3626:L3626"/>
    <mergeCell ref="J3635:L3635"/>
    <mergeCell ref="G3624:I3624"/>
    <mergeCell ref="G3633:I3633"/>
    <mergeCell ref="B3655:D3655"/>
    <mergeCell ref="I3655:J3655"/>
    <mergeCell ref="B3706:D3706"/>
    <mergeCell ref="B3707:D3707"/>
    <mergeCell ref="G3614:H3614"/>
    <mergeCell ref="G3615:H3615"/>
    <mergeCell ref="A3616:L3616"/>
    <mergeCell ref="C3613:D3613"/>
    <mergeCell ref="J3613:L3613"/>
    <mergeCell ref="B3614:D3614"/>
    <mergeCell ref="K3614:L3614"/>
    <mergeCell ref="B3615:D3615"/>
    <mergeCell ref="A3596:L3596"/>
    <mergeCell ref="A3604:L3604"/>
    <mergeCell ref="A3612:L3612"/>
    <mergeCell ref="B3708:D3708"/>
    <mergeCell ref="B3694:D3694"/>
    <mergeCell ref="G3694:H3694"/>
    <mergeCell ref="B3695:D3695"/>
    <mergeCell ref="F3696:F3697"/>
    <mergeCell ref="G3696:J3696"/>
    <mergeCell ref="G3697:J3697"/>
    <mergeCell ref="B3656:D3656"/>
    <mergeCell ref="C3663:D3663"/>
    <mergeCell ref="B3664:D3664"/>
    <mergeCell ref="G3664:H3664"/>
    <mergeCell ref="B3687:D3687"/>
    <mergeCell ref="F3688:F3689"/>
    <mergeCell ref="G3688:J3688"/>
    <mergeCell ref="B3702:D3702"/>
    <mergeCell ref="G3702:H3702"/>
    <mergeCell ref="C3684:D3684"/>
    <mergeCell ref="C3693:D3693"/>
    <mergeCell ref="B3704:D3704"/>
    <mergeCell ref="B3705:D3705"/>
    <mergeCell ref="G3670:J3670"/>
    <mergeCell ref="G3671:J3671"/>
    <mergeCell ref="B3672:D3672"/>
    <mergeCell ref="B3686:D3686"/>
    <mergeCell ref="B3666:D3666"/>
    <mergeCell ref="B3668:D3668"/>
    <mergeCell ref="B3669:D3669"/>
    <mergeCell ref="F3670:F3671"/>
    <mergeCell ref="I3660:J3660"/>
    <mergeCell ref="B3661:D3661"/>
    <mergeCell ref="A3662:L3662"/>
    <mergeCell ref="C3658:D3658"/>
    <mergeCell ref="B3709:D3709"/>
    <mergeCell ref="B3710:D3710"/>
    <mergeCell ref="A3692:L3692"/>
    <mergeCell ref="B3703:D3703"/>
    <mergeCell ref="B3685:D3685"/>
    <mergeCell ref="G3682:I3682"/>
    <mergeCell ref="J3675:L3675"/>
    <mergeCell ref="C3675:D3675"/>
    <mergeCell ref="G3673:I3673"/>
    <mergeCell ref="G3691:I3691"/>
    <mergeCell ref="B3711:D3711"/>
    <mergeCell ref="B3712:D3712"/>
    <mergeCell ref="B3713:D3713"/>
    <mergeCell ref="B3714:D3714"/>
    <mergeCell ref="B3724:D3724"/>
    <mergeCell ref="I3724:J3724"/>
    <mergeCell ref="B3725:D3725"/>
    <mergeCell ref="I3725:J3725"/>
    <mergeCell ref="B3717:D3717"/>
    <mergeCell ref="B3718:D3718"/>
    <mergeCell ref="B3715:D3715"/>
    <mergeCell ref="B3716:D3716"/>
    <mergeCell ref="J3748:L3748"/>
    <mergeCell ref="G3730:I3730"/>
    <mergeCell ref="G3741:I3741"/>
    <mergeCell ref="G3746:I3746"/>
    <mergeCell ref="G3738:J3738"/>
    <mergeCell ref="B3739:D3739"/>
    <mergeCell ref="C3732:D3732"/>
    <mergeCell ref="B3733:D3733"/>
    <mergeCell ref="G3733:H3733"/>
    <mergeCell ref="G3737:J3737"/>
    <mergeCell ref="B3745:D3745"/>
    <mergeCell ref="G3745:H3745"/>
    <mergeCell ref="A3747:L3747"/>
    <mergeCell ref="C3748:D3748"/>
    <mergeCell ref="B3721:D3721"/>
    <mergeCell ref="F3726:F3727"/>
    <mergeCell ref="B3722:D3722"/>
    <mergeCell ref="B3723:D3723"/>
    <mergeCell ref="B3720:D3720"/>
    <mergeCell ref="G3755:J3755"/>
    <mergeCell ref="G3756:J3756"/>
    <mergeCell ref="B3757:D3757"/>
    <mergeCell ref="C3752:D3752"/>
    <mergeCell ref="B3758:D3758"/>
    <mergeCell ref="J3732:L3732"/>
    <mergeCell ref="J3752:L3752"/>
    <mergeCell ref="C3743:D3743"/>
    <mergeCell ref="J3743:L3743"/>
    <mergeCell ref="B3744:D3744"/>
    <mergeCell ref="G3744:H3744"/>
    <mergeCell ref="K3744:L3744"/>
    <mergeCell ref="J3760:L3760"/>
    <mergeCell ref="B3735:D3735"/>
    <mergeCell ref="B3736:D3736"/>
    <mergeCell ref="F3737:F3738"/>
    <mergeCell ref="B3749:D3749"/>
    <mergeCell ref="G3749:H3749"/>
    <mergeCell ref="K3749:L3749"/>
    <mergeCell ref="C3793:D3793"/>
    <mergeCell ref="B3794:D3794"/>
    <mergeCell ref="G3794:H3794"/>
    <mergeCell ref="B3795:D3795"/>
    <mergeCell ref="F3785:F3786"/>
    <mergeCell ref="G3785:J3785"/>
    <mergeCell ref="G3786:J3786"/>
    <mergeCell ref="J3782:L3782"/>
    <mergeCell ref="A3781:L3781"/>
    <mergeCell ref="B3750:D3750"/>
    <mergeCell ref="G3750:H3750"/>
    <mergeCell ref="A3751:L3751"/>
    <mergeCell ref="B3762:D3762"/>
    <mergeCell ref="G3726:J3726"/>
    <mergeCell ref="G3727:J3727"/>
    <mergeCell ref="B3777:D3777"/>
    <mergeCell ref="B3775:D3775"/>
    <mergeCell ref="I3775:J3775"/>
    <mergeCell ref="C3772:D3772"/>
    <mergeCell ref="B3773:D3773"/>
    <mergeCell ref="G3773:H3773"/>
    <mergeCell ref="I3773:J3773"/>
    <mergeCell ref="B3774:D3774"/>
    <mergeCell ref="I3774:J3774"/>
    <mergeCell ref="B3776:D3776"/>
    <mergeCell ref="I3777:J3777"/>
    <mergeCell ref="A3765:L3765"/>
    <mergeCell ref="C3760:D3760"/>
    <mergeCell ref="B3761:D3761"/>
    <mergeCell ref="G3761:H3761"/>
    <mergeCell ref="B3754:D3754"/>
    <mergeCell ref="F3755:F3756"/>
    <mergeCell ref="C3891:D3891"/>
    <mergeCell ref="A3896:L3896"/>
    <mergeCell ref="B4029:D4029"/>
    <mergeCell ref="B3976:D3976"/>
    <mergeCell ref="B3967:D3967"/>
    <mergeCell ref="G4097:H4097"/>
    <mergeCell ref="A3984:L3984"/>
    <mergeCell ref="B3958:D3958"/>
    <mergeCell ref="B3931:D3931"/>
    <mergeCell ref="B3770:D3770"/>
    <mergeCell ref="J3772:L3772"/>
    <mergeCell ref="B3768:D3768"/>
    <mergeCell ref="I3768:J3768"/>
    <mergeCell ref="F3789:I3789"/>
    <mergeCell ref="C3766:D3766"/>
    <mergeCell ref="J3766:L3766"/>
    <mergeCell ref="B3767:D3767"/>
    <mergeCell ref="G3767:H3767"/>
    <mergeCell ref="I3767:J3767"/>
    <mergeCell ref="I3826:J3826"/>
    <mergeCell ref="G3812:J3812"/>
    <mergeCell ref="G3813:J3813"/>
    <mergeCell ref="B3841:D3841"/>
    <mergeCell ref="C3838:D3838"/>
    <mergeCell ref="B3839:D3839"/>
    <mergeCell ref="G3839:H3839"/>
    <mergeCell ref="I3839:J3839"/>
    <mergeCell ref="B3780:D3780"/>
    <mergeCell ref="C3782:D3782"/>
    <mergeCell ref="B3783:D3783"/>
    <mergeCell ref="G3783:H3783"/>
    <mergeCell ref="J3793:L3793"/>
    <mergeCell ref="B3842:D3842"/>
    <mergeCell ref="I3842:J3842"/>
    <mergeCell ref="I3841:J3841"/>
    <mergeCell ref="C3804:D3804"/>
    <mergeCell ref="C3824:D3824"/>
    <mergeCell ref="B3806:D3806"/>
    <mergeCell ref="A3837:L3837"/>
    <mergeCell ref="A3830:L3830"/>
    <mergeCell ref="A3847:L3847"/>
    <mergeCell ref="B3825:D3825"/>
    <mergeCell ref="B3846:D3846"/>
    <mergeCell ref="J3838:L3838"/>
    <mergeCell ref="A3803:L3803"/>
    <mergeCell ref="A3816:L3816"/>
    <mergeCell ref="B3809:D3809"/>
    <mergeCell ref="F3812:F3813"/>
    <mergeCell ref="B3805:D3805"/>
    <mergeCell ref="B3826:D3826"/>
    <mergeCell ref="B3836:D3836"/>
    <mergeCell ref="B3844:D3844"/>
    <mergeCell ref="I3844:J3844"/>
    <mergeCell ref="I3827:J3827"/>
    <mergeCell ref="G3815:I3815"/>
    <mergeCell ref="B3906:D3906"/>
    <mergeCell ref="C3969:D3969"/>
    <mergeCell ref="B3970:D3970"/>
    <mergeCell ref="B3956:D3956"/>
    <mergeCell ref="B4107:D4107"/>
    <mergeCell ref="B3950:D3950"/>
    <mergeCell ref="B4108:D4108"/>
    <mergeCell ref="B4109:D4109"/>
    <mergeCell ref="C4123:D4123"/>
    <mergeCell ref="B3925:D3925"/>
    <mergeCell ref="B3926:D3926"/>
    <mergeCell ref="B3927:D3927"/>
    <mergeCell ref="D3936:L3936"/>
    <mergeCell ref="A3937:C3937"/>
    <mergeCell ref="A3940:C3940"/>
    <mergeCell ref="A3941:C3941"/>
    <mergeCell ref="A3942:C3942"/>
    <mergeCell ref="A3936:C3936"/>
    <mergeCell ref="J3946:L3946"/>
    <mergeCell ref="G3929:J3929"/>
    <mergeCell ref="A3938:C3938"/>
    <mergeCell ref="A3943:C3943"/>
    <mergeCell ref="A3944:C3944"/>
    <mergeCell ref="I3950:J3950"/>
    <mergeCell ref="G3986:H3986"/>
    <mergeCell ref="C3946:D3946"/>
    <mergeCell ref="D3940:L3940"/>
    <mergeCell ref="A3935:L3935"/>
    <mergeCell ref="B3932:D3932"/>
    <mergeCell ref="I3965:J3965"/>
    <mergeCell ref="I3958:J3958"/>
    <mergeCell ref="B3962:D3962"/>
    <mergeCell ref="I3952:J3952"/>
    <mergeCell ref="A3995:L3995"/>
    <mergeCell ref="B3987:D3987"/>
    <mergeCell ref="F3988:F3989"/>
    <mergeCell ref="G3988:J3988"/>
    <mergeCell ref="B3955:D3955"/>
    <mergeCell ref="B4006:D4006"/>
    <mergeCell ref="B4007:D4007"/>
    <mergeCell ref="G4015:H4015"/>
    <mergeCell ref="B3999:D3999"/>
    <mergeCell ref="F3981:I3981"/>
    <mergeCell ref="F3992:I3992"/>
    <mergeCell ref="G3978:J3978"/>
    <mergeCell ref="C3985:D3985"/>
    <mergeCell ref="I3961:J3961"/>
    <mergeCell ref="J4004:L4004"/>
    <mergeCell ref="A4027:L4027"/>
    <mergeCell ref="G3980:I3980"/>
    <mergeCell ref="G3991:I3991"/>
    <mergeCell ref="B4018:D4018"/>
    <mergeCell ref="B4019:D4019"/>
    <mergeCell ref="F4008:F4009"/>
    <mergeCell ref="G4008:J4008"/>
    <mergeCell ref="G4009:J4009"/>
    <mergeCell ref="G4012:I4012"/>
    <mergeCell ref="G4011:I4011"/>
    <mergeCell ref="G4025:I4025"/>
    <mergeCell ref="I4248:J4248"/>
    <mergeCell ref="G4166:I4166"/>
    <mergeCell ref="B4190:D4190"/>
    <mergeCell ref="G4246:H4246"/>
    <mergeCell ref="I4151:J4151"/>
    <mergeCell ref="I4186:J4186"/>
    <mergeCell ref="I4179:J4179"/>
    <mergeCell ref="C4218:D4218"/>
    <mergeCell ref="J4218:L4218"/>
    <mergeCell ref="B4219:D4219"/>
    <mergeCell ref="G4219:H4219"/>
    <mergeCell ref="B4141:D4141"/>
    <mergeCell ref="B4017:D4017"/>
    <mergeCell ref="B3954:D3954"/>
    <mergeCell ref="I3954:J3954"/>
    <mergeCell ref="C4028:D4028"/>
    <mergeCell ref="J4168:L4168"/>
    <mergeCell ref="J4132:L4132"/>
    <mergeCell ref="G4140:H4140"/>
    <mergeCell ref="B4133:D4133"/>
    <mergeCell ref="B4134:D4134"/>
    <mergeCell ref="B4135:D4135"/>
    <mergeCell ref="C4139:D4139"/>
    <mergeCell ref="B4178:D4178"/>
    <mergeCell ref="B4177:D4177"/>
    <mergeCell ref="G4130:I4130"/>
    <mergeCell ref="G4146:I4146"/>
    <mergeCell ref="B4196:D4196"/>
    <mergeCell ref="B4172:D4172"/>
    <mergeCell ref="B4180:D4180"/>
    <mergeCell ref="G4133:H4133"/>
    <mergeCell ref="K4156:L4156"/>
    <mergeCell ref="B4220:D4220"/>
    <mergeCell ref="A4217:L4217"/>
    <mergeCell ref="B4215:D4215"/>
    <mergeCell ref="I4215:J4215"/>
    <mergeCell ref="B4216:D4216"/>
    <mergeCell ref="J4148:L4148"/>
    <mergeCell ref="F4160:F4161"/>
    <mergeCell ref="B4152:D4152"/>
    <mergeCell ref="C4148:D4148"/>
    <mergeCell ref="B4188:D4188"/>
    <mergeCell ref="B4197:D4197"/>
    <mergeCell ref="I4197:J4197"/>
    <mergeCell ref="B4198:D4198"/>
    <mergeCell ref="C4184:D4184"/>
    <mergeCell ref="G4163:I4163"/>
    <mergeCell ref="B4207:D4207"/>
    <mergeCell ref="I4196:J4196"/>
    <mergeCell ref="I4214:J4214"/>
    <mergeCell ref="B4212:D4212"/>
    <mergeCell ref="G4212:H4212"/>
    <mergeCell ref="I4212:J4212"/>
    <mergeCell ref="B4185:D4185"/>
    <mergeCell ref="B4201:D4201"/>
    <mergeCell ref="G4201:H4201"/>
    <mergeCell ref="K4212:L4212"/>
    <mergeCell ref="B4206:D4206"/>
    <mergeCell ref="I4205:J4205"/>
    <mergeCell ref="B4205:D4205"/>
    <mergeCell ref="J4209:L4209"/>
    <mergeCell ref="A4208:L4208"/>
    <mergeCell ref="B4203:D4203"/>
    <mergeCell ref="G4203:H4203"/>
    <mergeCell ref="B4098:D4098"/>
    <mergeCell ref="B4112:D4112"/>
    <mergeCell ref="B4214:D4214"/>
    <mergeCell ref="C4200:D4200"/>
    <mergeCell ref="J4211:L4211"/>
    <mergeCell ref="J4184:L4184"/>
    <mergeCell ref="G4182:H4182"/>
    <mergeCell ref="B4213:D4213"/>
    <mergeCell ref="I4213:J4213"/>
    <mergeCell ref="C4211:D4211"/>
    <mergeCell ref="J4200:L4200"/>
    <mergeCell ref="B4195:D4195"/>
    <mergeCell ref="I4195:J4195"/>
    <mergeCell ref="F4142:F4143"/>
    <mergeCell ref="G4142:J4142"/>
    <mergeCell ref="B4092:D4092"/>
    <mergeCell ref="B4194:D4194"/>
    <mergeCell ref="I4194:J4194"/>
    <mergeCell ref="G4156:H4156"/>
    <mergeCell ref="B4157:D4157"/>
    <mergeCell ref="B4150:D4150"/>
    <mergeCell ref="I4150:J4150"/>
    <mergeCell ref="J4155:L4155"/>
    <mergeCell ref="K4140:L4140"/>
    <mergeCell ref="B4113:D4113"/>
    <mergeCell ref="B4114:D4114"/>
    <mergeCell ref="F4115:F4116"/>
    <mergeCell ref="G4115:J4115"/>
    <mergeCell ref="G4116:J4116"/>
    <mergeCell ref="C4096:D4096"/>
    <mergeCell ref="C4132:D4132"/>
    <mergeCell ref="E4135:H4135"/>
    <mergeCell ref="C4155:D4155"/>
    <mergeCell ref="J4176:L4176"/>
    <mergeCell ref="F4164:I4164"/>
    <mergeCell ref="J4123:L4123"/>
    <mergeCell ref="B4187:D4187"/>
    <mergeCell ref="B4110:D4110"/>
    <mergeCell ref="A4302:L4302"/>
    <mergeCell ref="G4276:J4276"/>
    <mergeCell ref="G4277:J4277"/>
    <mergeCell ref="B4271:D4271"/>
    <mergeCell ref="C4273:D4273"/>
    <mergeCell ref="B4269:D4269"/>
    <mergeCell ref="I4269:J4269"/>
    <mergeCell ref="I4300:J4300"/>
    <mergeCell ref="B4301:D4301"/>
    <mergeCell ref="I4293:J4293"/>
    <mergeCell ref="I4261:J4261"/>
    <mergeCell ref="B4262:D4262"/>
    <mergeCell ref="I4262:J4262"/>
    <mergeCell ref="C4282:D4282"/>
    <mergeCell ref="B4274:D4274"/>
    <mergeCell ref="B4300:D4300"/>
    <mergeCell ref="J4291:L4291"/>
    <mergeCell ref="J4282:L4282"/>
    <mergeCell ref="B4298:D4298"/>
    <mergeCell ref="G4274:H4274"/>
    <mergeCell ref="B4268:D4268"/>
    <mergeCell ref="I4268:J4268"/>
    <mergeCell ref="I4292:J4292"/>
    <mergeCell ref="K4292:L4292"/>
    <mergeCell ref="K4297:L4297"/>
    <mergeCell ref="A4290:L4290"/>
    <mergeCell ref="J4266:L4266"/>
    <mergeCell ref="K4267:L4267"/>
    <mergeCell ref="B4263:D4263"/>
    <mergeCell ref="I4263:J4263"/>
    <mergeCell ref="I4270:J4270"/>
    <mergeCell ref="F4276:F4277"/>
    <mergeCell ref="B4353:D4353"/>
    <mergeCell ref="I4353:J4353"/>
    <mergeCell ref="F4369:F4370"/>
    <mergeCell ref="C4312:D4312"/>
    <mergeCell ref="J4312:L4312"/>
    <mergeCell ref="G4326:I4326"/>
    <mergeCell ref="B4352:D4352"/>
    <mergeCell ref="B4345:D4345"/>
    <mergeCell ref="I4348:J4348"/>
    <mergeCell ref="B4344:D4344"/>
    <mergeCell ref="I4344:J4344"/>
    <mergeCell ref="A4342:L4342"/>
    <mergeCell ref="C4357:D4357"/>
    <mergeCell ref="K4358:L4358"/>
    <mergeCell ref="J4357:L4357"/>
    <mergeCell ref="K4339:L4339"/>
    <mergeCell ref="B4347:D4347"/>
    <mergeCell ref="I4347:J4347"/>
    <mergeCell ref="B4315:D4315"/>
    <mergeCell ref="I4315:J4315"/>
    <mergeCell ref="J4328:L4328"/>
    <mergeCell ref="I4329:J4329"/>
    <mergeCell ref="B4340:D4340"/>
    <mergeCell ref="A4356:L4356"/>
    <mergeCell ref="B4350:D4350"/>
    <mergeCell ref="I4350:J4350"/>
    <mergeCell ref="B4349:D4349"/>
    <mergeCell ref="I4349:J4349"/>
    <mergeCell ref="I4359:J4359"/>
    <mergeCell ref="B4355:D4355"/>
    <mergeCell ref="B4304:D4304"/>
    <mergeCell ref="G4304:H4304"/>
    <mergeCell ref="B4314:D4314"/>
    <mergeCell ref="K4506:L4506"/>
    <mergeCell ref="B4507:D4507"/>
    <mergeCell ref="G4507:H4507"/>
    <mergeCell ref="J4485:L4485"/>
    <mergeCell ref="K4469:L4469"/>
    <mergeCell ref="B4482:D4482"/>
    <mergeCell ref="G4482:H4482"/>
    <mergeCell ref="B4377:D4377"/>
    <mergeCell ref="G4377:H4377"/>
    <mergeCell ref="I4377:J4377"/>
    <mergeCell ref="B4378:D4378"/>
    <mergeCell ref="G4538:I4538"/>
    <mergeCell ref="I4340:J4340"/>
    <mergeCell ref="B4341:D4341"/>
    <mergeCell ref="C4343:D4343"/>
    <mergeCell ref="C4338:D4338"/>
    <mergeCell ref="B4339:D4339"/>
    <mergeCell ref="I4339:J4339"/>
    <mergeCell ref="B4351:D4351"/>
    <mergeCell ref="G4355:I4355"/>
    <mergeCell ref="B4388:D4388"/>
    <mergeCell ref="B4442:D4442"/>
    <mergeCell ref="B4443:D4443"/>
    <mergeCell ref="B4346:D4346"/>
    <mergeCell ref="I4346:J4346"/>
    <mergeCell ref="J4385:L4385"/>
    <mergeCell ref="K4386:L4386"/>
    <mergeCell ref="B4367:D4367"/>
    <mergeCell ref="G4367:H4367"/>
    <mergeCell ref="B4305:D4305"/>
    <mergeCell ref="I4305:J4305"/>
    <mergeCell ref="I4304:J4304"/>
    <mergeCell ref="B4307:D4307"/>
    <mergeCell ref="I4307:J4307"/>
    <mergeCell ref="G4370:J4370"/>
    <mergeCell ref="B4396:D4396"/>
    <mergeCell ref="G4372:I4372"/>
    <mergeCell ref="A4361:L4361"/>
    <mergeCell ref="A4365:L4365"/>
    <mergeCell ref="G3073:H3073"/>
    <mergeCell ref="B3073:D3073"/>
    <mergeCell ref="B3078:D3078"/>
    <mergeCell ref="J3597:L3597"/>
    <mergeCell ref="I3900:J3900"/>
    <mergeCell ref="B3901:D3901"/>
    <mergeCell ref="A3731:L3731"/>
    <mergeCell ref="A3742:L3742"/>
    <mergeCell ref="A3759:L3759"/>
    <mergeCell ref="B4363:D4363"/>
    <mergeCell ref="G4363:H4363"/>
    <mergeCell ref="K4363:L4363"/>
    <mergeCell ref="B4364:D4364"/>
    <mergeCell ref="K4367:L4367"/>
    <mergeCell ref="G4283:H4283"/>
    <mergeCell ref="B4284:D4284"/>
    <mergeCell ref="J4273:L4273"/>
    <mergeCell ref="K4274:L4274"/>
    <mergeCell ref="B4275:D4275"/>
    <mergeCell ref="I3901:J3901"/>
    <mergeCell ref="B3902:D3902"/>
    <mergeCell ref="G3108:J3108"/>
    <mergeCell ref="G3797:J3797"/>
    <mergeCell ref="F3796:F3797"/>
    <mergeCell ref="J3824:L3824"/>
    <mergeCell ref="B3829:D3829"/>
    <mergeCell ref="I4429:J4429"/>
    <mergeCell ref="J4445:L4445"/>
    <mergeCell ref="G4446:H4446"/>
    <mergeCell ref="K4304:L4304"/>
    <mergeCell ref="B4306:D4306"/>
    <mergeCell ref="B4292:D4292"/>
    <mergeCell ref="G4292:H4292"/>
    <mergeCell ref="I4306:J4306"/>
    <mergeCell ref="I4309:J4309"/>
    <mergeCell ref="B4309:D4309"/>
    <mergeCell ref="I4299:J4299"/>
    <mergeCell ref="I4381:J4381"/>
    <mergeCell ref="B4330:D4330"/>
    <mergeCell ref="I4330:J4330"/>
    <mergeCell ref="B4331:D4331"/>
    <mergeCell ref="I4331:J4331"/>
    <mergeCell ref="E4409:G4409"/>
    <mergeCell ref="G4389:J4389"/>
    <mergeCell ref="G4390:J4390"/>
    <mergeCell ref="A4295:L4295"/>
    <mergeCell ref="B4403:D4403"/>
    <mergeCell ref="G4323:J4323"/>
    <mergeCell ref="G4297:H4297"/>
    <mergeCell ref="B4379:D4379"/>
    <mergeCell ref="I4379:J4379"/>
    <mergeCell ref="I4335:J4335"/>
    <mergeCell ref="C4385:D4385"/>
    <mergeCell ref="I4345:J4345"/>
    <mergeCell ref="B4348:D4348"/>
    <mergeCell ref="J4318:L4318"/>
    <mergeCell ref="C4328:D4328"/>
    <mergeCell ref="B4359:D4359"/>
    <mergeCell ref="J3166:L3166"/>
    <mergeCell ref="A3275:L3275"/>
    <mergeCell ref="C3272:D3272"/>
    <mergeCell ref="J3272:L3272"/>
    <mergeCell ref="B3273:D3273"/>
    <mergeCell ref="B3329:D3329"/>
    <mergeCell ref="B3853:D3853"/>
    <mergeCell ref="B3855:D3855"/>
    <mergeCell ref="B3857:D3857"/>
    <mergeCell ref="B3892:D3892"/>
    <mergeCell ref="B3898:D3898"/>
    <mergeCell ref="G3825:H3825"/>
    <mergeCell ref="B3807:D3807"/>
    <mergeCell ref="B3808:D3808"/>
    <mergeCell ref="J3848:L3848"/>
    <mergeCell ref="A3341:L3341"/>
    <mergeCell ref="A3346:L3346"/>
    <mergeCell ref="C3358:D3358"/>
    <mergeCell ref="F3383:F3384"/>
    <mergeCell ref="G3348:H3348"/>
    <mergeCell ref="G3369:H3369"/>
    <mergeCell ref="G3354:J3354"/>
    <mergeCell ref="J3368:L3368"/>
    <mergeCell ref="J3307:L3307"/>
    <mergeCell ref="J3804:L3804"/>
    <mergeCell ref="B3849:D3849"/>
    <mergeCell ref="B3845:D3845"/>
    <mergeCell ref="C3848:D3848"/>
    <mergeCell ref="C4004:D4004"/>
    <mergeCell ref="B3986:D3986"/>
    <mergeCell ref="G3970:H3970"/>
    <mergeCell ref="C3905:D3905"/>
    <mergeCell ref="G4386:H4386"/>
    <mergeCell ref="B4381:D4381"/>
    <mergeCell ref="B4387:D4387"/>
    <mergeCell ref="F4389:F4390"/>
    <mergeCell ref="I4378:J4378"/>
    <mergeCell ref="B4358:D4358"/>
    <mergeCell ref="G4358:H4358"/>
    <mergeCell ref="I4358:J4358"/>
    <mergeCell ref="B4382:D4382"/>
    <mergeCell ref="A4375:L4375"/>
    <mergeCell ref="A4384:L4384"/>
    <mergeCell ref="J4366:L4366"/>
    <mergeCell ref="B4368:D4368"/>
    <mergeCell ref="K4329:L4329"/>
    <mergeCell ref="K4377:L4377"/>
    <mergeCell ref="G4324:J4324"/>
    <mergeCell ref="B4313:D4313"/>
    <mergeCell ref="G4313:H4313"/>
    <mergeCell ref="B4332:D4332"/>
    <mergeCell ref="I4332:J4332"/>
    <mergeCell ref="B4333:D4333"/>
    <mergeCell ref="I4333:J4333"/>
    <mergeCell ref="B4329:D4329"/>
    <mergeCell ref="G4329:H4329"/>
    <mergeCell ref="I4314:J4314"/>
    <mergeCell ref="G4369:J4369"/>
    <mergeCell ref="I4313:J4313"/>
    <mergeCell ref="K4313:L4313"/>
    <mergeCell ref="G2563:J2563"/>
    <mergeCell ref="B2483:D2483"/>
    <mergeCell ref="B2583:D2583"/>
    <mergeCell ref="B2522:D2522"/>
    <mergeCell ref="G2522:H2522"/>
    <mergeCell ref="I2522:J2522"/>
    <mergeCell ref="C2980:D2980"/>
    <mergeCell ref="G3323:J3323"/>
    <mergeCell ref="B3345:D3345"/>
    <mergeCell ref="C3347:D3347"/>
    <mergeCell ref="C3342:D3342"/>
    <mergeCell ref="B3900:D3900"/>
    <mergeCell ref="B3907:D3907"/>
    <mergeCell ref="B3908:D3908"/>
    <mergeCell ref="B3840:D3840"/>
    <mergeCell ref="I3840:J3840"/>
    <mergeCell ref="K4219:L4219"/>
    <mergeCell ref="B3335:D3335"/>
    <mergeCell ref="G3324:J3324"/>
    <mergeCell ref="C3328:D3328"/>
    <mergeCell ref="B3343:D3343"/>
    <mergeCell ref="G3329:H3329"/>
    <mergeCell ref="B3734:D3734"/>
    <mergeCell ref="G3373:J3373"/>
    <mergeCell ref="J3921:L3921"/>
    <mergeCell ref="A3763:D3764"/>
    <mergeCell ref="G3753:H3753"/>
    <mergeCell ref="B3371:D3371"/>
    <mergeCell ref="C3378:D3378"/>
    <mergeCell ref="B4015:D4015"/>
    <mergeCell ref="B3910:D3910"/>
    <mergeCell ref="I3959:J3959"/>
    <mergeCell ref="A1754:L1754"/>
    <mergeCell ref="K2558:L2558"/>
    <mergeCell ref="B2559:D2559"/>
    <mergeCell ref="I2572:J2572"/>
    <mergeCell ref="B2591:D2591"/>
    <mergeCell ref="B2523:D2523"/>
    <mergeCell ref="A2524:L2524"/>
    <mergeCell ref="A544:L544"/>
    <mergeCell ref="G748:J748"/>
    <mergeCell ref="C752:D752"/>
    <mergeCell ref="K2989:L2989"/>
    <mergeCell ref="J2993:L2993"/>
    <mergeCell ref="C2993:D2993"/>
    <mergeCell ref="B2985:D2985"/>
    <mergeCell ref="I2955:J2955"/>
    <mergeCell ref="B2934:D2934"/>
    <mergeCell ref="B2935:D2935"/>
    <mergeCell ref="F2936:F2937"/>
    <mergeCell ref="G2936:J2936"/>
    <mergeCell ref="G2937:J2937"/>
    <mergeCell ref="J2953:L2953"/>
    <mergeCell ref="G2864:J2864"/>
    <mergeCell ref="D2875:L2875"/>
    <mergeCell ref="B2986:D2986"/>
    <mergeCell ref="C2988:D2988"/>
    <mergeCell ref="B2989:D2989"/>
    <mergeCell ref="I2985:J2985"/>
    <mergeCell ref="I2758:J2758"/>
    <mergeCell ref="J2852:L2852"/>
    <mergeCell ref="B2562:D2562"/>
    <mergeCell ref="F2562:F2563"/>
    <mergeCell ref="G2562:J2562"/>
    <mergeCell ref="A2606:C2606"/>
    <mergeCell ref="B2511:D2511"/>
    <mergeCell ref="G2604:I2604"/>
    <mergeCell ref="I2573:J2573"/>
    <mergeCell ref="D2607:L2607"/>
    <mergeCell ref="A2568:L2568"/>
    <mergeCell ref="A2541:L2541"/>
    <mergeCell ref="D2507:L2507"/>
    <mergeCell ref="J1751:L1751"/>
    <mergeCell ref="I2581:J2581"/>
    <mergeCell ref="A2584:L2584"/>
    <mergeCell ref="C2557:D2557"/>
    <mergeCell ref="J2557:L2557"/>
    <mergeCell ref="B2596:D2596"/>
    <mergeCell ref="C2616:D2616"/>
    <mergeCell ref="G2617:H2617"/>
    <mergeCell ref="K2617:L2617"/>
    <mergeCell ref="B2599:D2599"/>
    <mergeCell ref="G2591:H2591"/>
    <mergeCell ref="K2591:L2591"/>
    <mergeCell ref="A2607:C2607"/>
    <mergeCell ref="B2587:D2587"/>
    <mergeCell ref="B2595:D2595"/>
    <mergeCell ref="A2610:C2610"/>
    <mergeCell ref="D2606:L2606"/>
    <mergeCell ref="D2609:L2609"/>
    <mergeCell ref="J2616:L2616"/>
    <mergeCell ref="G2586:H2586"/>
    <mergeCell ref="B2575:D2575"/>
    <mergeCell ref="A2551:L2551"/>
    <mergeCell ref="B2553:D2553"/>
    <mergeCell ref="B2561:D2561"/>
    <mergeCell ref="G2473:H2473"/>
    <mergeCell ref="A2507:C2507"/>
    <mergeCell ref="D2504:L2504"/>
    <mergeCell ref="J2482:L2482"/>
    <mergeCell ref="C2515:D2515"/>
    <mergeCell ref="B2532:D2532"/>
    <mergeCell ref="I2521:J2521"/>
    <mergeCell ref="G2565:I2565"/>
    <mergeCell ref="G2558:H2558"/>
    <mergeCell ref="G2538:I2538"/>
    <mergeCell ref="G2548:I2548"/>
    <mergeCell ref="J2525:L2525"/>
    <mergeCell ref="K2531:L2531"/>
    <mergeCell ref="A2614:C2614"/>
    <mergeCell ref="D2614:L2614"/>
    <mergeCell ref="B2580:D2580"/>
    <mergeCell ref="I2580:J2580"/>
    <mergeCell ref="B2593:D2593"/>
    <mergeCell ref="C2520:D2520"/>
    <mergeCell ref="J2520:L2520"/>
    <mergeCell ref="B2516:D2516"/>
    <mergeCell ref="D2506:L2506"/>
    <mergeCell ref="B2517:D2517"/>
    <mergeCell ref="G2516:H2516"/>
    <mergeCell ref="K2516:L2516"/>
    <mergeCell ref="G2521:H2521"/>
    <mergeCell ref="I2516:J2516"/>
    <mergeCell ref="K2521:L2521"/>
    <mergeCell ref="A2519:L2519"/>
    <mergeCell ref="B2518:D2518"/>
    <mergeCell ref="J2585:L2585"/>
    <mergeCell ref="B2586:D2586"/>
    <mergeCell ref="A2504:C2504"/>
    <mergeCell ref="C1751:D1751"/>
    <mergeCell ref="J1837:L1837"/>
    <mergeCell ref="B2592:D2592"/>
    <mergeCell ref="B1722:D1722"/>
    <mergeCell ref="I1722:J1722"/>
    <mergeCell ref="I2587:J2587"/>
    <mergeCell ref="A2499:L2499"/>
    <mergeCell ref="A2500:C2500"/>
    <mergeCell ref="D2611:L2611"/>
    <mergeCell ref="A2608:C2608"/>
    <mergeCell ref="J2510:L2510"/>
    <mergeCell ref="I2517:J2517"/>
    <mergeCell ref="A2503:C2503"/>
    <mergeCell ref="D2503:L2503"/>
    <mergeCell ref="A2509:L2509"/>
    <mergeCell ref="D2502:L2502"/>
    <mergeCell ref="B2420:D2420"/>
    <mergeCell ref="G2483:H2483"/>
    <mergeCell ref="B2533:D2533"/>
    <mergeCell ref="B2422:D2422"/>
    <mergeCell ref="A2423:L2423"/>
    <mergeCell ref="I2473:J2473"/>
    <mergeCell ref="K2473:L2473"/>
    <mergeCell ref="B2474:D2474"/>
    <mergeCell ref="I2474:J2474"/>
    <mergeCell ref="A2476:L2476"/>
    <mergeCell ref="D2508:L2508"/>
    <mergeCell ref="B2475:D2475"/>
    <mergeCell ref="B2491:D2491"/>
    <mergeCell ref="B2492:D2492"/>
    <mergeCell ref="A2501:C2501"/>
    <mergeCell ref="B2618:D2618"/>
    <mergeCell ref="C2590:D2590"/>
    <mergeCell ref="J2590:L2590"/>
    <mergeCell ref="C1860:D1860"/>
    <mergeCell ref="J1860:L1860"/>
    <mergeCell ref="B1861:D1861"/>
    <mergeCell ref="B1839:D1839"/>
    <mergeCell ref="I1839:J1839"/>
    <mergeCell ref="B1840:D1840"/>
    <mergeCell ref="A1836:L1836"/>
    <mergeCell ref="C1842:D1842"/>
    <mergeCell ref="J1875:L1875"/>
    <mergeCell ref="J1842:L1842"/>
    <mergeCell ref="B1835:D1835"/>
    <mergeCell ref="B2322:D2322"/>
    <mergeCell ref="I2322:J2322"/>
    <mergeCell ref="B2323:D2323"/>
    <mergeCell ref="A2556:L2556"/>
    <mergeCell ref="C2585:D2585"/>
    <mergeCell ref="A2615:L2615"/>
    <mergeCell ref="I2554:J2554"/>
    <mergeCell ref="I2464:J2464"/>
    <mergeCell ref="G2493:J2493"/>
    <mergeCell ref="B1896:D1896"/>
    <mergeCell ref="F1898:F1899"/>
    <mergeCell ref="A1869:L1869"/>
    <mergeCell ref="C1875:D1875"/>
    <mergeCell ref="B1863:D1863"/>
    <mergeCell ref="G1866:H1866"/>
    <mergeCell ref="I1866:J1866"/>
    <mergeCell ref="C1837:D1837"/>
    <mergeCell ref="B1851:D1851"/>
    <mergeCell ref="K2553:L2553"/>
    <mergeCell ref="G2545:J2545"/>
    <mergeCell ref="G2546:J2546"/>
    <mergeCell ref="C2552:D2552"/>
    <mergeCell ref="H2602:J2602"/>
    <mergeCell ref="B2594:D2594"/>
    <mergeCell ref="I2578:J2578"/>
    <mergeCell ref="K2578:L2578"/>
    <mergeCell ref="A1677:C1677"/>
    <mergeCell ref="D1677:L1677"/>
    <mergeCell ref="A1678:L1678"/>
    <mergeCell ref="B1695:D1695"/>
    <mergeCell ref="A1687:L1687"/>
    <mergeCell ref="G1867:H1867"/>
    <mergeCell ref="I1867:J1867"/>
    <mergeCell ref="C1870:D1870"/>
    <mergeCell ref="J1870:L1870"/>
    <mergeCell ref="B1689:D1689"/>
    <mergeCell ref="B1690:D1690"/>
    <mergeCell ref="I1711:J1711"/>
    <mergeCell ref="A1691:L1691"/>
    <mergeCell ref="I1681:J1681"/>
    <mergeCell ref="B1682:D1682"/>
    <mergeCell ref="I1806:J1806"/>
    <mergeCell ref="I1807:J1807"/>
    <mergeCell ref="I1808:J1808"/>
    <mergeCell ref="K1833:L1833"/>
    <mergeCell ref="B1825:D1825"/>
    <mergeCell ref="B1826:D1826"/>
    <mergeCell ref="B2310:D2310"/>
    <mergeCell ref="B2581:D2581"/>
    <mergeCell ref="I2420:J2420"/>
    <mergeCell ref="B2579:D2579"/>
    <mergeCell ref="K2586:L2586"/>
    <mergeCell ref="B2598:D2598"/>
    <mergeCell ref="B1723:D1723"/>
    <mergeCell ref="B1823:D1823"/>
    <mergeCell ref="B1824:D1824"/>
    <mergeCell ref="G2719:J2719"/>
    <mergeCell ref="C2712:D2712"/>
    <mergeCell ref="C2707:D2707"/>
    <mergeCell ref="B2521:D2521"/>
    <mergeCell ref="B2617:D2617"/>
    <mergeCell ref="G2601:J2601"/>
    <mergeCell ref="B2544:D2544"/>
    <mergeCell ref="F2545:F2546"/>
    <mergeCell ref="B2588:D2588"/>
    <mergeCell ref="D2610:L2610"/>
    <mergeCell ref="A2611:C2611"/>
    <mergeCell ref="A2612:C2612"/>
    <mergeCell ref="D2612:L2612"/>
    <mergeCell ref="A2613:C2613"/>
    <mergeCell ref="D2613:L2613"/>
    <mergeCell ref="B2554:D2554"/>
    <mergeCell ref="B2558:D2558"/>
    <mergeCell ref="I2579:J2579"/>
    <mergeCell ref="B2573:D2573"/>
    <mergeCell ref="A2609:C2609"/>
    <mergeCell ref="B2560:D2560"/>
    <mergeCell ref="A2576:L2576"/>
    <mergeCell ref="C2577:D2577"/>
    <mergeCell ref="J2577:L2577"/>
    <mergeCell ref="G2578:H2578"/>
    <mergeCell ref="I2553:J2553"/>
    <mergeCell ref="G799:H799"/>
    <mergeCell ref="B1071:D1071"/>
    <mergeCell ref="B1072:D1072"/>
    <mergeCell ref="B1073:D1073"/>
    <mergeCell ref="B1075:D1075"/>
    <mergeCell ref="B1076:D1076"/>
    <mergeCell ref="J797:L797"/>
    <mergeCell ref="J793:L793"/>
    <mergeCell ref="B920:D920"/>
    <mergeCell ref="C948:D948"/>
    <mergeCell ref="K949:L949"/>
    <mergeCell ref="B950:D950"/>
    <mergeCell ref="J1697:L1697"/>
    <mergeCell ref="G1698:H1698"/>
    <mergeCell ref="K1698:L1698"/>
    <mergeCell ref="C1692:D1692"/>
    <mergeCell ref="G4061:J4061"/>
    <mergeCell ref="B4048:D4048"/>
    <mergeCell ref="F4049:F4050"/>
    <mergeCell ref="G4049:J4049"/>
    <mergeCell ref="B4058:D4058"/>
    <mergeCell ref="J2725:L2725"/>
    <mergeCell ref="B3192:D3192"/>
    <mergeCell ref="K1866:L1866"/>
    <mergeCell ref="G2708:H2708"/>
    <mergeCell ref="B2704:D2704"/>
    <mergeCell ref="A2589:L2589"/>
    <mergeCell ref="B2052:D2052"/>
    <mergeCell ref="A2326:L2326"/>
    <mergeCell ref="B2321:D2321"/>
    <mergeCell ref="I2321:J2321"/>
    <mergeCell ref="B2578:D2578"/>
    <mergeCell ref="B918:D918"/>
    <mergeCell ref="G918:H918"/>
    <mergeCell ref="C960:D960"/>
    <mergeCell ref="J960:L960"/>
    <mergeCell ref="I908:J908"/>
    <mergeCell ref="B885:D885"/>
    <mergeCell ref="B886:D886"/>
    <mergeCell ref="B887:D887"/>
    <mergeCell ref="B888:D888"/>
    <mergeCell ref="B889:D889"/>
    <mergeCell ref="B890:D890"/>
    <mergeCell ref="B901:D901"/>
    <mergeCell ref="A1409:D1410"/>
    <mergeCell ref="I4351:J4351"/>
    <mergeCell ref="B763:D763"/>
    <mergeCell ref="G763:H763"/>
    <mergeCell ref="B799:D799"/>
    <mergeCell ref="B777:D777"/>
    <mergeCell ref="A800:L800"/>
    <mergeCell ref="J948:L948"/>
    <mergeCell ref="A951:L951"/>
    <mergeCell ref="J952:L952"/>
    <mergeCell ref="A955:L955"/>
    <mergeCell ref="I1791:J1791"/>
    <mergeCell ref="I1790:J1790"/>
    <mergeCell ref="I1792:J1792"/>
    <mergeCell ref="I1793:J1793"/>
    <mergeCell ref="I1794:J1794"/>
    <mergeCell ref="I1795:J1795"/>
    <mergeCell ref="I1796:J1796"/>
    <mergeCell ref="I1805:J1805"/>
    <mergeCell ref="J1088:L1088"/>
    <mergeCell ref="G337:H337"/>
    <mergeCell ref="G562:H562"/>
    <mergeCell ref="I515:J515"/>
    <mergeCell ref="B516:D516"/>
    <mergeCell ref="I516:J516"/>
    <mergeCell ref="J742:L742"/>
    <mergeCell ref="J762:L762"/>
    <mergeCell ref="F766:F767"/>
    <mergeCell ref="G766:J766"/>
    <mergeCell ref="J726:L726"/>
    <mergeCell ref="B727:D727"/>
    <mergeCell ref="I727:J727"/>
    <mergeCell ref="K727:L727"/>
    <mergeCell ref="A724:L724"/>
    <mergeCell ref="A719:L719"/>
    <mergeCell ref="E723:H723"/>
    <mergeCell ref="B721:D721"/>
    <mergeCell ref="E729:H729"/>
    <mergeCell ref="A730:L730"/>
    <mergeCell ref="B755:D755"/>
    <mergeCell ref="D696:L696"/>
    <mergeCell ref="B764:D764"/>
    <mergeCell ref="K650:L650"/>
    <mergeCell ref="G636:H636"/>
    <mergeCell ref="D691:L691"/>
    <mergeCell ref="A692:C692"/>
    <mergeCell ref="C649:D649"/>
    <mergeCell ref="J649:L649"/>
    <mergeCell ref="G642:J642"/>
    <mergeCell ref="G643:J643"/>
    <mergeCell ref="B642:D642"/>
    <mergeCell ref="B643:D643"/>
    <mergeCell ref="B451:D451"/>
    <mergeCell ref="I451:J451"/>
    <mergeCell ref="G498:J498"/>
    <mergeCell ref="F497:F498"/>
    <mergeCell ref="K337:L337"/>
    <mergeCell ref="I722:J722"/>
    <mergeCell ref="B233:D233"/>
    <mergeCell ref="K706:L706"/>
    <mergeCell ref="B675:D675"/>
    <mergeCell ref="B676:D676"/>
    <mergeCell ref="B677:D677"/>
    <mergeCell ref="B679:D679"/>
    <mergeCell ref="F681:F682"/>
    <mergeCell ref="G681:J681"/>
    <mergeCell ref="G682:J682"/>
    <mergeCell ref="B670:D670"/>
    <mergeCell ref="C673:D673"/>
    <mergeCell ref="J673:L673"/>
    <mergeCell ref="B674:D674"/>
    <mergeCell ref="G674:H674"/>
    <mergeCell ref="K674:L674"/>
    <mergeCell ref="B671:E671"/>
    <mergeCell ref="G339:J339"/>
    <mergeCell ref="A512:L512"/>
    <mergeCell ref="C513:D513"/>
    <mergeCell ref="J513:L513"/>
    <mergeCell ref="D511:L511"/>
    <mergeCell ref="B481:D481"/>
    <mergeCell ref="A511:C511"/>
    <mergeCell ref="D695:L695"/>
    <mergeCell ref="A696:C696"/>
    <mergeCell ref="A718:L718"/>
    <mergeCell ref="K546:L546"/>
    <mergeCell ref="I406:J406"/>
    <mergeCell ref="B456:D456"/>
    <mergeCell ref="G451:H451"/>
    <mergeCell ref="A444:L444"/>
    <mergeCell ref="B274:D274"/>
    <mergeCell ref="B275:D275"/>
    <mergeCell ref="A258:L258"/>
    <mergeCell ref="B252:D252"/>
    <mergeCell ref="D507:L507"/>
    <mergeCell ref="K347:L347"/>
    <mergeCell ref="B348:D348"/>
    <mergeCell ref="B337:D337"/>
    <mergeCell ref="B338:D338"/>
    <mergeCell ref="I338:J338"/>
    <mergeCell ref="F339:F340"/>
    <mergeCell ref="G340:J340"/>
    <mergeCell ref="I337:J337"/>
    <mergeCell ref="A317:L317"/>
    <mergeCell ref="C318:D318"/>
    <mergeCell ref="I320:J320"/>
    <mergeCell ref="F325:F326"/>
    <mergeCell ref="G325:J325"/>
    <mergeCell ref="J463:L463"/>
    <mergeCell ref="B464:D464"/>
    <mergeCell ref="G464:H464"/>
    <mergeCell ref="K464:L464"/>
    <mergeCell ref="I441:J441"/>
    <mergeCell ref="K441:L441"/>
    <mergeCell ref="A449:L449"/>
    <mergeCell ref="C450:D450"/>
    <mergeCell ref="J450:L450"/>
    <mergeCell ref="K556:L556"/>
    <mergeCell ref="B558:D558"/>
    <mergeCell ref="G735:J735"/>
    <mergeCell ref="G546:H546"/>
    <mergeCell ref="B546:D546"/>
    <mergeCell ref="G747:J747"/>
    <mergeCell ref="B494:D494"/>
    <mergeCell ref="B495:D495"/>
    <mergeCell ref="B496:D496"/>
    <mergeCell ref="I1811:J1811"/>
    <mergeCell ref="I2421:J2421"/>
    <mergeCell ref="A731:L731"/>
    <mergeCell ref="C1855:D1855"/>
    <mergeCell ref="J1855:L1855"/>
    <mergeCell ref="I1862:J1862"/>
    <mergeCell ref="J2515:L2515"/>
    <mergeCell ref="B1866:D1866"/>
    <mergeCell ref="K2418:L2418"/>
    <mergeCell ref="I2457:J2457"/>
    <mergeCell ref="B1867:D1867"/>
    <mergeCell ref="I1809:J1809"/>
    <mergeCell ref="I1810:J1810"/>
    <mergeCell ref="K721:L721"/>
    <mergeCell ref="C705:D705"/>
    <mergeCell ref="J705:L705"/>
    <mergeCell ref="B706:D706"/>
    <mergeCell ref="G706:H706"/>
    <mergeCell ref="I706:J706"/>
    <mergeCell ref="I966:J966"/>
    <mergeCell ref="B728:D728"/>
    <mergeCell ref="I728:J728"/>
    <mergeCell ref="D689:L689"/>
    <mergeCell ref="A345:L345"/>
    <mergeCell ref="C346:D346"/>
    <mergeCell ref="J346:L346"/>
    <mergeCell ref="I347:J347"/>
    <mergeCell ref="I348:J348"/>
    <mergeCell ref="I349:J349"/>
    <mergeCell ref="I350:J350"/>
    <mergeCell ref="J713:L713"/>
    <mergeCell ref="B514:D514"/>
    <mergeCell ref="G514:H514"/>
    <mergeCell ref="I514:J514"/>
    <mergeCell ref="I668:J668"/>
    <mergeCell ref="G727:H727"/>
    <mergeCell ref="K514:L514"/>
    <mergeCell ref="B515:D515"/>
    <mergeCell ref="G717:I717"/>
    <mergeCell ref="B709:D709"/>
    <mergeCell ref="B710:D710"/>
    <mergeCell ref="A601:D602"/>
    <mergeCell ref="A694:C694"/>
    <mergeCell ref="D694:L694"/>
    <mergeCell ref="G490:I490"/>
    <mergeCell ref="B548:D548"/>
    <mergeCell ref="K493:L493"/>
    <mergeCell ref="C347:D347"/>
    <mergeCell ref="B441:D441"/>
    <mergeCell ref="I447:J447"/>
    <mergeCell ref="F468:F469"/>
    <mergeCell ref="G468:J468"/>
    <mergeCell ref="B469:D469"/>
    <mergeCell ref="G469:J469"/>
    <mergeCell ref="K561:L561"/>
    <mergeCell ref="F1884:I1884"/>
    <mergeCell ref="B1555:D1555"/>
    <mergeCell ref="B1876:D1876"/>
    <mergeCell ref="B1862:D1862"/>
    <mergeCell ref="A1859:L1859"/>
    <mergeCell ref="B1848:D1848"/>
    <mergeCell ref="C1865:D1865"/>
    <mergeCell ref="J1865:L1865"/>
    <mergeCell ref="C1850:D1850"/>
    <mergeCell ref="K1711:L1711"/>
    <mergeCell ref="G585:H585"/>
    <mergeCell ref="B717:F717"/>
    <mergeCell ref="I710:J710"/>
    <mergeCell ref="A704:L704"/>
    <mergeCell ref="A712:L712"/>
    <mergeCell ref="B632:D632"/>
    <mergeCell ref="G632:I632"/>
    <mergeCell ref="C598:D598"/>
    <mergeCell ref="B966:D966"/>
    <mergeCell ref="I1701:J1701"/>
    <mergeCell ref="I721:J721"/>
    <mergeCell ref="C713:D713"/>
    <mergeCell ref="I700:J700"/>
    <mergeCell ref="D690:L690"/>
    <mergeCell ref="B723:D723"/>
    <mergeCell ref="C720:D720"/>
    <mergeCell ref="A1056:L1056"/>
    <mergeCell ref="C1041:D1041"/>
    <mergeCell ref="J1041:L1041"/>
    <mergeCell ref="B1042:D1042"/>
    <mergeCell ref="G1042:H1042"/>
    <mergeCell ref="B1034:D1034"/>
    <mergeCell ref="G775:H775"/>
    <mergeCell ref="A779:L779"/>
    <mergeCell ref="A778:F778"/>
    <mergeCell ref="B774:D774"/>
    <mergeCell ref="B783:D783"/>
    <mergeCell ref="A1054:D1055"/>
    <mergeCell ref="A741:L741"/>
    <mergeCell ref="B716:D716"/>
    <mergeCell ref="I716:J716"/>
    <mergeCell ref="B622:D622"/>
    <mergeCell ref="I622:J622"/>
    <mergeCell ref="B631:D631"/>
    <mergeCell ref="G631:H631"/>
    <mergeCell ref="B583:D583"/>
    <mergeCell ref="B703:D703"/>
    <mergeCell ref="G633:I633"/>
    <mergeCell ref="F735:F736"/>
    <mergeCell ref="J720:L720"/>
    <mergeCell ref="B1035:D1035"/>
    <mergeCell ref="B1036:D1036"/>
    <mergeCell ref="B1037:D1037"/>
    <mergeCell ref="A1004:D1005"/>
    <mergeCell ref="K1033:L1033"/>
    <mergeCell ref="A1029:D1030"/>
    <mergeCell ref="A1038:D1039"/>
    <mergeCell ref="G954:H954"/>
    <mergeCell ref="F787:F788"/>
    <mergeCell ref="G787:J787"/>
    <mergeCell ref="G788:J788"/>
    <mergeCell ref="A1031:L1031"/>
    <mergeCell ref="B954:D954"/>
    <mergeCell ref="J917:L917"/>
    <mergeCell ref="A929:L929"/>
    <mergeCell ref="B927:D927"/>
    <mergeCell ref="C930:D930"/>
    <mergeCell ref="J930:L930"/>
    <mergeCell ref="B931:D931"/>
    <mergeCell ref="G931:H931"/>
    <mergeCell ref="B932:D932"/>
    <mergeCell ref="J2552:L2552"/>
    <mergeCell ref="C2542:D2542"/>
    <mergeCell ref="J2542:L2542"/>
    <mergeCell ref="B2543:D2543"/>
    <mergeCell ref="G2543:H2543"/>
    <mergeCell ref="K2543:L2543"/>
    <mergeCell ref="J752:L752"/>
    <mergeCell ref="C742:D742"/>
    <mergeCell ref="B2534:D2534"/>
    <mergeCell ref="B2535:D2535"/>
    <mergeCell ref="F2535:F2536"/>
    <mergeCell ref="G2535:J2535"/>
    <mergeCell ref="G2536:J2536"/>
    <mergeCell ref="C2530:D2530"/>
    <mergeCell ref="J2530:L2530"/>
    <mergeCell ref="B2531:D2531"/>
    <mergeCell ref="G2531:H2531"/>
    <mergeCell ref="I1702:J1702"/>
    <mergeCell ref="B795:D795"/>
    <mergeCell ref="G795:H795"/>
    <mergeCell ref="A796:L796"/>
    <mergeCell ref="A1360:D1361"/>
    <mergeCell ref="A991:D992"/>
    <mergeCell ref="K774:L774"/>
    <mergeCell ref="B775:D775"/>
    <mergeCell ref="B2632:D2632"/>
    <mergeCell ref="B2688:D2688"/>
    <mergeCell ref="A2696:L2696"/>
    <mergeCell ref="A2684:L2684"/>
    <mergeCell ref="G2651:J2651"/>
    <mergeCell ref="I2661:J2661"/>
    <mergeCell ref="G2693:I2693"/>
    <mergeCell ref="B2656:D2656"/>
    <mergeCell ref="B2648:D2648"/>
    <mergeCell ref="B2636:D2636"/>
    <mergeCell ref="G2653:I2653"/>
    <mergeCell ref="B2637:D2637"/>
    <mergeCell ref="B2677:D2677"/>
    <mergeCell ref="I2677:J2677"/>
    <mergeCell ref="G2632:H2632"/>
    <mergeCell ref="K2632:L2632"/>
    <mergeCell ref="B2633:D2633"/>
    <mergeCell ref="B2634:D2634"/>
    <mergeCell ref="B2635:D2635"/>
    <mergeCell ref="F2637:F2638"/>
    <mergeCell ref="G2690:J2690"/>
    <mergeCell ref="B2681:D2681"/>
    <mergeCell ref="I2657:J2657"/>
    <mergeCell ref="B2713:D2713"/>
    <mergeCell ref="K2681:L2681"/>
    <mergeCell ref="A2711:L2711"/>
    <mergeCell ref="B2709:D2709"/>
    <mergeCell ref="K2708:L2708"/>
    <mergeCell ref="B2686:D2686"/>
    <mergeCell ref="I446:J446"/>
    <mergeCell ref="K2686:L2686"/>
    <mergeCell ref="J2697:L2697"/>
    <mergeCell ref="G2698:H2698"/>
    <mergeCell ref="I2698:J2698"/>
    <mergeCell ref="K2698:L2698"/>
    <mergeCell ref="C2702:D2702"/>
    <mergeCell ref="G2691:J2691"/>
    <mergeCell ref="K2656:L2656"/>
    <mergeCell ref="B2672:D2672"/>
    <mergeCell ref="C2675:D2675"/>
    <mergeCell ref="J2675:L2675"/>
    <mergeCell ref="B2663:D2663"/>
    <mergeCell ref="I2666:J2666"/>
    <mergeCell ref="C2631:D2631"/>
    <mergeCell ref="C2685:D2685"/>
    <mergeCell ref="J2685:L2685"/>
    <mergeCell ref="B2689:D2689"/>
    <mergeCell ref="B2676:D2676"/>
    <mergeCell ref="B2673:D2673"/>
    <mergeCell ref="K2645:L2645"/>
    <mergeCell ref="B2646:D2646"/>
    <mergeCell ref="I1699:J1699"/>
    <mergeCell ref="I1700:J1700"/>
    <mergeCell ref="B722:D722"/>
    <mergeCell ref="J2631:L2631"/>
    <mergeCell ref="J3245:L3245"/>
    <mergeCell ref="F2718:F2719"/>
    <mergeCell ref="B2716:D2716"/>
    <mergeCell ref="G2718:J2718"/>
    <mergeCell ref="I2704:J2704"/>
    <mergeCell ref="J2702:L2702"/>
    <mergeCell ref="B2703:D2703"/>
    <mergeCell ref="A2701:L2701"/>
    <mergeCell ref="F2690:F2691"/>
    <mergeCell ref="I2727:J2727"/>
    <mergeCell ref="C2697:D2697"/>
    <mergeCell ref="B2738:D2738"/>
    <mergeCell ref="G2738:H2738"/>
    <mergeCell ref="B2739:D2739"/>
    <mergeCell ref="B2740:D2740"/>
    <mergeCell ref="I2726:J2726"/>
    <mergeCell ref="B2763:D2763"/>
    <mergeCell ref="G2699:H2699"/>
    <mergeCell ref="B2732:D2732"/>
    <mergeCell ref="B2741:D2741"/>
    <mergeCell ref="K2713:L2713"/>
    <mergeCell ref="B2753:D2753"/>
    <mergeCell ref="B2757:D2757"/>
    <mergeCell ref="B2754:D2754"/>
    <mergeCell ref="I2754:J2754"/>
    <mergeCell ref="G2722:I2722"/>
    <mergeCell ref="G2748:I2748"/>
    <mergeCell ref="B2743:D2743"/>
    <mergeCell ref="B2735:D2735"/>
    <mergeCell ref="G2785:I2785"/>
    <mergeCell ref="G2797:I2797"/>
    <mergeCell ref="B2717:D2717"/>
    <mergeCell ref="G2768:H2768"/>
    <mergeCell ref="B3330:D3330"/>
    <mergeCell ref="I3344:J3344"/>
    <mergeCell ref="J3347:L3347"/>
    <mergeCell ref="B3331:D3331"/>
    <mergeCell ref="B3332:D3332"/>
    <mergeCell ref="A3357:L3357"/>
    <mergeCell ref="J3358:L3358"/>
    <mergeCell ref="G3303:J3303"/>
    <mergeCell ref="J3328:L3328"/>
    <mergeCell ref="F3337:F3338"/>
    <mergeCell ref="G3337:J3337"/>
    <mergeCell ref="G3338:J3338"/>
    <mergeCell ref="J3342:L3342"/>
    <mergeCell ref="F3353:F3354"/>
    <mergeCell ref="K3186:L3186"/>
    <mergeCell ref="K3167:L3167"/>
    <mergeCell ref="B3167:D3167"/>
    <mergeCell ref="G3167:H3167"/>
    <mergeCell ref="F3171:F3172"/>
    <mergeCell ref="B3264:D3264"/>
    <mergeCell ref="B3261:D3261"/>
    <mergeCell ref="G3261:H3261"/>
    <mergeCell ref="K3261:L3261"/>
    <mergeCell ref="J3260:L3260"/>
    <mergeCell ref="G3308:H3308"/>
    <mergeCell ref="I3256:J3256"/>
    <mergeCell ref="B3257:D3257"/>
    <mergeCell ref="I3257:J3257"/>
    <mergeCell ref="F3250:F3251"/>
    <mergeCell ref="G3250:J3250"/>
    <mergeCell ref="K3241:L3241"/>
    <mergeCell ref="B3246:D3246"/>
    <mergeCell ref="I2676:J2676"/>
    <mergeCell ref="K2676:L2676"/>
    <mergeCell ref="B2726:D2726"/>
    <mergeCell ref="B2710:D2710"/>
    <mergeCell ref="B2698:D2698"/>
    <mergeCell ref="I2732:J2732"/>
    <mergeCell ref="B2699:D2699"/>
    <mergeCell ref="F2744:F2745"/>
    <mergeCell ref="B2728:D2728"/>
    <mergeCell ref="K3292:L3292"/>
    <mergeCell ref="G3274:H3274"/>
    <mergeCell ref="G3204:J3204"/>
    <mergeCell ref="I3222:J3222"/>
    <mergeCell ref="B3232:D3232"/>
    <mergeCell ref="A3219:L3219"/>
    <mergeCell ref="B3212:D3212"/>
    <mergeCell ref="G3215:J3215"/>
    <mergeCell ref="B2714:D2714"/>
    <mergeCell ref="B2715:D2715"/>
    <mergeCell ref="I2682:J2682"/>
    <mergeCell ref="B2683:D2683"/>
    <mergeCell ref="G2771:J2771"/>
    <mergeCell ref="I2731:J2731"/>
    <mergeCell ref="B2731:D2731"/>
    <mergeCell ref="I2709:J2709"/>
    <mergeCell ref="J2730:L2730"/>
    <mergeCell ref="I2764:J2764"/>
    <mergeCell ref="B2764:D2764"/>
    <mergeCell ref="A2706:L2706"/>
    <mergeCell ref="A2729:L2729"/>
    <mergeCell ref="A2724:L2724"/>
    <mergeCell ref="B2790:D2790"/>
    <mergeCell ref="J2810:L2810"/>
    <mergeCell ref="A2809:L2809"/>
    <mergeCell ref="B2801:D2801"/>
    <mergeCell ref="B2835:D2835"/>
    <mergeCell ref="C2837:D2837"/>
    <mergeCell ref="G2811:H2811"/>
    <mergeCell ref="K2811:L2811"/>
    <mergeCell ref="A3141:L3141"/>
    <mergeCell ref="A3151:L3151"/>
    <mergeCell ref="G3153:H3153"/>
    <mergeCell ref="J3072:L3072"/>
    <mergeCell ref="B3080:D3080"/>
    <mergeCell ref="B3081:D3081"/>
    <mergeCell ref="K3060:L3060"/>
    <mergeCell ref="J3076:L3076"/>
    <mergeCell ref="B3145:D3145"/>
    <mergeCell ref="F3147:F3148"/>
    <mergeCell ref="B3146:D3146"/>
    <mergeCell ref="J2963:L2963"/>
    <mergeCell ref="B3153:D3153"/>
    <mergeCell ref="K3093:L3093"/>
    <mergeCell ref="G3143:H3143"/>
    <mergeCell ref="B3135:D3135"/>
    <mergeCell ref="G3060:H3060"/>
    <mergeCell ref="C3092:D3092"/>
    <mergeCell ref="B3093:D3093"/>
    <mergeCell ref="G3093:H3093"/>
    <mergeCell ref="J3112:L3112"/>
    <mergeCell ref="K3113:L3113"/>
    <mergeCell ref="K3073:L3073"/>
    <mergeCell ref="G3089:I3089"/>
    <mergeCell ref="Q2647:R2647"/>
    <mergeCell ref="I2763:J2763"/>
    <mergeCell ref="K2763:L2763"/>
    <mergeCell ref="G2764:H2764"/>
    <mergeCell ref="A2903:C2903"/>
    <mergeCell ref="D2902:L2902"/>
    <mergeCell ref="C2842:D2842"/>
    <mergeCell ref="K2884:L2884"/>
    <mergeCell ref="B3193:D3193"/>
    <mergeCell ref="J3506:L3506"/>
    <mergeCell ref="G3796:J3796"/>
    <mergeCell ref="B3350:D3350"/>
    <mergeCell ref="J3185:L3185"/>
    <mergeCell ref="B3190:D3190"/>
    <mergeCell ref="B3202:D3202"/>
    <mergeCell ref="G3107:J3107"/>
    <mergeCell ref="G3113:H3113"/>
    <mergeCell ref="B3105:D3105"/>
    <mergeCell ref="A3367:L3367"/>
    <mergeCell ref="A3377:L3377"/>
    <mergeCell ref="A3388:L3388"/>
    <mergeCell ref="B3370:D3370"/>
    <mergeCell ref="G3246:H3246"/>
    <mergeCell ref="B3309:D3309"/>
    <mergeCell ref="A3327:L3327"/>
    <mergeCell ref="A3290:L3290"/>
    <mergeCell ref="J3281:L3281"/>
    <mergeCell ref="K3282:L3282"/>
    <mergeCell ref="C2670:D2670"/>
    <mergeCell ref="B2671:D2671"/>
    <mergeCell ref="B2759:D2759"/>
    <mergeCell ref="G2763:H2763"/>
    <mergeCell ref="X2616:Z2616"/>
    <mergeCell ref="P2648:R2648"/>
    <mergeCell ref="U2647:V2647"/>
    <mergeCell ref="Y2617:Z2617"/>
    <mergeCell ref="P2649:R2649"/>
    <mergeCell ref="U2648:V2648"/>
    <mergeCell ref="B2755:D2755"/>
    <mergeCell ref="I2755:J2755"/>
    <mergeCell ref="C2751:D2751"/>
    <mergeCell ref="J2751:L2751"/>
    <mergeCell ref="B2752:D2752"/>
    <mergeCell ref="I2752:J2752"/>
    <mergeCell ref="K2752:L2752"/>
    <mergeCell ref="A2750:L2750"/>
    <mergeCell ref="B2756:D2756"/>
    <mergeCell ref="I2756:J2756"/>
    <mergeCell ref="C3128:D3128"/>
    <mergeCell ref="J3018:L3018"/>
    <mergeCell ref="A3075:L3075"/>
    <mergeCell ref="G3098:J3098"/>
    <mergeCell ref="I2759:J2759"/>
    <mergeCell ref="C2737:D2737"/>
    <mergeCell ref="K2738:L2738"/>
    <mergeCell ref="J3128:L3128"/>
    <mergeCell ref="G2808:I2808"/>
    <mergeCell ref="G2818:I2818"/>
    <mergeCell ref="G2828:I2828"/>
    <mergeCell ref="G2816:J2816"/>
    <mergeCell ref="G3034:J3034"/>
    <mergeCell ref="B2708:D2708"/>
    <mergeCell ref="C2810:D2810"/>
    <mergeCell ref="I2833:J2833"/>
    <mergeCell ref="G3914:J3914"/>
    <mergeCell ref="B3667:D3667"/>
    <mergeCell ref="I3962:J3962"/>
    <mergeCell ref="A4003:L4003"/>
    <mergeCell ref="I3997:J3997"/>
    <mergeCell ref="I4000:J4000"/>
    <mergeCell ref="B3618:D3618"/>
    <mergeCell ref="B3619:D3619"/>
    <mergeCell ref="F3913:F3914"/>
    <mergeCell ref="A3865:L3865"/>
    <mergeCell ref="I3899:J3899"/>
    <mergeCell ref="G3913:J3913"/>
    <mergeCell ref="K3849:L3849"/>
    <mergeCell ref="B3850:D3850"/>
    <mergeCell ref="B3851:D3851"/>
    <mergeCell ref="B3852:D3852"/>
    <mergeCell ref="A3968:L3968"/>
    <mergeCell ref="B3923:D3923"/>
    <mergeCell ref="H3923:I3923"/>
    <mergeCell ref="D3939:L3939"/>
    <mergeCell ref="B3949:D3949"/>
    <mergeCell ref="I3949:J3949"/>
    <mergeCell ref="A3674:L3674"/>
    <mergeCell ref="B3646:D3646"/>
    <mergeCell ref="G3648:J3648"/>
    <mergeCell ref="G3989:J3989"/>
    <mergeCell ref="B3903:D3903"/>
    <mergeCell ref="F3917:I3917"/>
    <mergeCell ref="J3996:L3996"/>
    <mergeCell ref="B3974:D3974"/>
    <mergeCell ref="B4000:D4000"/>
    <mergeCell ref="B4001:D4001"/>
    <mergeCell ref="F3394:F3395"/>
    <mergeCell ref="G3394:J3394"/>
    <mergeCell ref="F3373:F3374"/>
    <mergeCell ref="B3359:D3359"/>
    <mergeCell ref="G3359:H3359"/>
    <mergeCell ref="B3645:D3645"/>
    <mergeCell ref="B3641:D3641"/>
    <mergeCell ref="B3640:D3640"/>
    <mergeCell ref="G3407:I3407"/>
    <mergeCell ref="J3410:L3410"/>
    <mergeCell ref="C3389:D3389"/>
    <mergeCell ref="G3379:H3379"/>
    <mergeCell ref="C3635:D3635"/>
    <mergeCell ref="B3636:D3636"/>
    <mergeCell ref="G3636:H3636"/>
    <mergeCell ref="B3637:D3637"/>
    <mergeCell ref="C3617:D3617"/>
    <mergeCell ref="C3605:D3605"/>
    <mergeCell ref="B3606:D3606"/>
    <mergeCell ref="G3606:H3606"/>
    <mergeCell ref="B3598:D3598"/>
    <mergeCell ref="G3618:H3618"/>
    <mergeCell ref="B3379:D3379"/>
    <mergeCell ref="B3643:D3643"/>
    <mergeCell ref="B3644:D3644"/>
    <mergeCell ref="B3638:D3638"/>
    <mergeCell ref="A3420:L3420"/>
    <mergeCell ref="B3627:D3627"/>
    <mergeCell ref="G3627:H3627"/>
    <mergeCell ref="G3595:I3595"/>
    <mergeCell ref="B3628:D3628"/>
    <mergeCell ref="B3629:D3629"/>
    <mergeCell ref="B3665:D3665"/>
    <mergeCell ref="A3271:L3271"/>
    <mergeCell ref="B3265:D3265"/>
    <mergeCell ref="F3266:F3267"/>
    <mergeCell ref="G3266:J3266"/>
    <mergeCell ref="G3267:J3267"/>
    <mergeCell ref="G3527:J3527"/>
    <mergeCell ref="G3528:J3528"/>
    <mergeCell ref="B3523:D3523"/>
    <mergeCell ref="G3411:H3411"/>
    <mergeCell ref="C3532:D3532"/>
    <mergeCell ref="C3410:D3410"/>
    <mergeCell ref="B3411:D3411"/>
    <mergeCell ref="B3283:D3283"/>
    <mergeCell ref="J3291:L3291"/>
    <mergeCell ref="J3514:L3514"/>
    <mergeCell ref="G3621:J3621"/>
    <mergeCell ref="G3622:J3622"/>
    <mergeCell ref="F3647:F3648"/>
    <mergeCell ref="G3647:J3647"/>
    <mergeCell ref="A3625:L3625"/>
    <mergeCell ref="A3634:L3634"/>
    <mergeCell ref="A3657:L3657"/>
    <mergeCell ref="K3308:L3308"/>
    <mergeCell ref="B3308:D3308"/>
    <mergeCell ref="K3273:L3273"/>
    <mergeCell ref="B3274:D3274"/>
    <mergeCell ref="C3653:D3653"/>
    <mergeCell ref="B3642:D3642"/>
    <mergeCell ref="G3390:H3390"/>
    <mergeCell ref="B3391:D3391"/>
    <mergeCell ref="B3392:D3392"/>
    <mergeCell ref="B2780:D2780"/>
    <mergeCell ref="G2806:J2806"/>
    <mergeCell ref="B3247:D3247"/>
    <mergeCell ref="B3248:D3248"/>
    <mergeCell ref="B3249:D3249"/>
    <mergeCell ref="K3256:L3256"/>
    <mergeCell ref="B3210:D3210"/>
    <mergeCell ref="B3211:D3211"/>
    <mergeCell ref="B2765:D2765"/>
    <mergeCell ref="F3233:F3234"/>
    <mergeCell ref="G3233:J3233"/>
    <mergeCell ref="G3234:J3234"/>
    <mergeCell ref="K2779:L2779"/>
    <mergeCell ref="K2768:L2768"/>
    <mergeCell ref="K2843:L2843"/>
    <mergeCell ref="B2791:D2791"/>
    <mergeCell ref="F2771:F2772"/>
    <mergeCell ref="F2781:F2782"/>
    <mergeCell ref="G2781:J2781"/>
    <mergeCell ref="B2802:D2802"/>
    <mergeCell ref="B2838:D2838"/>
    <mergeCell ref="I2838:J2838"/>
    <mergeCell ref="K2838:L2838"/>
    <mergeCell ref="A2836:L2836"/>
    <mergeCell ref="J2842:L2842"/>
    <mergeCell ref="A2841:L2841"/>
    <mergeCell ref="B2779:D2779"/>
    <mergeCell ref="G2782:J2782"/>
    <mergeCell ref="G2789:H2789"/>
    <mergeCell ref="G3090:I3090"/>
    <mergeCell ref="B3132:D3132"/>
    <mergeCell ref="F2793:F2794"/>
    <mergeCell ref="B2792:D2792"/>
    <mergeCell ref="G2794:J2794"/>
    <mergeCell ref="I2743:J2743"/>
    <mergeCell ref="I2757:J2757"/>
    <mergeCell ref="B2758:D2758"/>
    <mergeCell ref="C2665:D2665"/>
    <mergeCell ref="J2665:L2665"/>
    <mergeCell ref="G2650:J2650"/>
    <mergeCell ref="I2671:J2671"/>
    <mergeCell ref="B2667:D2667"/>
    <mergeCell ref="I2667:J2667"/>
    <mergeCell ref="B2824:D2824"/>
    <mergeCell ref="F2825:F2826"/>
    <mergeCell ref="G2825:J2825"/>
    <mergeCell ref="G2826:J2826"/>
    <mergeCell ref="G2801:H2801"/>
    <mergeCell ref="J2767:L2767"/>
    <mergeCell ref="K2731:L2731"/>
    <mergeCell ref="B2733:D2733"/>
    <mergeCell ref="I2733:J2733"/>
    <mergeCell ref="I2734:J2734"/>
    <mergeCell ref="J2707:L2707"/>
    <mergeCell ref="A2761:L2761"/>
    <mergeCell ref="B2769:D2769"/>
    <mergeCell ref="B2770:D2770"/>
    <mergeCell ref="J2778:L2778"/>
    <mergeCell ref="F2815:F2816"/>
    <mergeCell ref="G2815:J2815"/>
    <mergeCell ref="C2730:D2730"/>
    <mergeCell ref="C2762:D2762"/>
    <mergeCell ref="A2736:L2736"/>
    <mergeCell ref="G2779:H2779"/>
    <mergeCell ref="B2821:D2821"/>
    <mergeCell ref="G2821:H2821"/>
    <mergeCell ref="A2799:L2799"/>
    <mergeCell ref="G2796:I2796"/>
    <mergeCell ref="B2789:D2789"/>
    <mergeCell ref="K3008:L3008"/>
    <mergeCell ref="C3076:D3076"/>
    <mergeCell ref="C3059:D3059"/>
    <mergeCell ref="B3179:D3179"/>
    <mergeCell ref="F3180:F3181"/>
    <mergeCell ref="G3180:J3180"/>
    <mergeCell ref="G3181:J3181"/>
    <mergeCell ref="B2983:D2983"/>
    <mergeCell ref="A3176:L3176"/>
    <mergeCell ref="G3033:J3033"/>
    <mergeCell ref="B2811:D2811"/>
    <mergeCell ref="J2800:L2800"/>
    <mergeCell ref="B3170:D3170"/>
    <mergeCell ref="B2804:D2804"/>
    <mergeCell ref="C2878:D2878"/>
    <mergeCell ref="G3024:J3024"/>
    <mergeCell ref="G3050:H3050"/>
    <mergeCell ref="A3017:L3017"/>
    <mergeCell ref="B3094:D3094"/>
    <mergeCell ref="B3154:D3154"/>
    <mergeCell ref="G3164:I3164"/>
    <mergeCell ref="G3136:J3136"/>
    <mergeCell ref="C3142:D3142"/>
    <mergeCell ref="B3143:D3143"/>
    <mergeCell ref="G3171:J3171"/>
    <mergeCell ref="G3069:I3069"/>
    <mergeCell ref="G2793:J2793"/>
    <mergeCell ref="J1850:L1850"/>
    <mergeCell ref="B2419:D2419"/>
    <mergeCell ref="I2419:J2419"/>
    <mergeCell ref="C2402:D2402"/>
    <mergeCell ref="I2586:J2586"/>
    <mergeCell ref="B2600:D2600"/>
    <mergeCell ref="F2601:F2602"/>
    <mergeCell ref="B3134:D3134"/>
    <mergeCell ref="C3225:D3225"/>
    <mergeCell ref="J3225:L3225"/>
    <mergeCell ref="F3203:F3204"/>
    <mergeCell ref="C3208:D3208"/>
    <mergeCell ref="J3177:L3177"/>
    <mergeCell ref="K3178:L3178"/>
    <mergeCell ref="A2766:L2766"/>
    <mergeCell ref="B2768:D2768"/>
    <mergeCell ref="G1928:I1928"/>
    <mergeCell ref="G1955:I1955"/>
    <mergeCell ref="G3195:J3195"/>
    <mergeCell ref="G3203:J3203"/>
    <mergeCell ref="C2788:D2788"/>
    <mergeCell ref="J2788:L2788"/>
    <mergeCell ref="B2687:D2687"/>
    <mergeCell ref="I2753:J2753"/>
    <mergeCell ref="A2674:L2674"/>
    <mergeCell ref="B3189:D3189"/>
    <mergeCell ref="G2744:J2744"/>
    <mergeCell ref="G2745:J2745"/>
    <mergeCell ref="I2405:J2405"/>
    <mergeCell ref="B2555:D2555"/>
    <mergeCell ref="B2645:D2645"/>
    <mergeCell ref="A2831:L2831"/>
    <mergeCell ref="G2645:H2645"/>
    <mergeCell ref="B2661:D2661"/>
    <mergeCell ref="C2655:D2655"/>
    <mergeCell ref="J2655:L2655"/>
    <mergeCell ref="K2661:L2661"/>
    <mergeCell ref="J2660:L2660"/>
    <mergeCell ref="B2638:D2638"/>
    <mergeCell ref="G2638:J2638"/>
    <mergeCell ref="B2705:D2705"/>
    <mergeCell ref="B2649:D2649"/>
    <mergeCell ref="I2672:J2672"/>
    <mergeCell ref="A2643:L2643"/>
    <mergeCell ref="B2650:D2650"/>
    <mergeCell ref="F2650:F2651"/>
    <mergeCell ref="G2703:H2703"/>
    <mergeCell ref="K2671:L2671"/>
    <mergeCell ref="J2670:L2670"/>
    <mergeCell ref="B2666:D2666"/>
    <mergeCell ref="A2659:L2659"/>
    <mergeCell ref="B2647:D2647"/>
    <mergeCell ref="C2644:D2644"/>
    <mergeCell ref="J2644:L2644"/>
    <mergeCell ref="B2658:D2658"/>
    <mergeCell ref="C2660:D2660"/>
    <mergeCell ref="B2662:D2662"/>
    <mergeCell ref="J2680:L2680"/>
    <mergeCell ref="B2657:D2657"/>
    <mergeCell ref="G2640:I2640"/>
    <mergeCell ref="I2681:J2681"/>
    <mergeCell ref="K3209:L3209"/>
    <mergeCell ref="B3201:D3201"/>
    <mergeCell ref="G3201:H3201"/>
    <mergeCell ref="C3200:D3200"/>
    <mergeCell ref="A3101:L3101"/>
    <mergeCell ref="A3111:L3111"/>
    <mergeCell ref="A3123:L3123"/>
    <mergeCell ref="B3133:D3133"/>
    <mergeCell ref="A3199:L3199"/>
    <mergeCell ref="B3227:D3227"/>
    <mergeCell ref="B3228:D3228"/>
    <mergeCell ref="F3323:F3324"/>
    <mergeCell ref="B3333:D3333"/>
    <mergeCell ref="B3321:D3321"/>
    <mergeCell ref="B3348:D3348"/>
    <mergeCell ref="B3351:D3351"/>
    <mergeCell ref="B3344:D3344"/>
    <mergeCell ref="A3295:L3295"/>
    <mergeCell ref="A3306:L3306"/>
    <mergeCell ref="A3317:L3317"/>
    <mergeCell ref="B3299:D3299"/>
    <mergeCell ref="B3300:D3300"/>
    <mergeCell ref="F3302:F3303"/>
    <mergeCell ref="G3302:J3302"/>
    <mergeCell ref="G3163:I3163"/>
    <mergeCell ref="G3174:I3174"/>
    <mergeCell ref="G3273:H3273"/>
    <mergeCell ref="B3262:D3262"/>
    <mergeCell ref="B3263:D3263"/>
    <mergeCell ref="B3256:D3256"/>
    <mergeCell ref="G3256:H3256"/>
    <mergeCell ref="G3251:J3251"/>
    <mergeCell ref="G4069:H4069"/>
    <mergeCell ref="G4029:H4029"/>
    <mergeCell ref="B4030:D4030"/>
    <mergeCell ref="A3700:L3700"/>
    <mergeCell ref="J4014:L4014"/>
    <mergeCell ref="I3947:J3947"/>
    <mergeCell ref="I3955:J3955"/>
    <mergeCell ref="B3975:D3975"/>
    <mergeCell ref="G4005:H4005"/>
    <mergeCell ref="C4037:D4037"/>
    <mergeCell ref="G4040:J4040"/>
    <mergeCell ref="F4040:F4041"/>
    <mergeCell ref="A4045:L4045"/>
    <mergeCell ref="A4053:L4053"/>
    <mergeCell ref="G4031:J4031"/>
    <mergeCell ref="J3985:L3985"/>
    <mergeCell ref="A4036:L4036"/>
    <mergeCell ref="F4024:I4024"/>
    <mergeCell ref="B3972:D3972"/>
    <mergeCell ref="B3973:D3973"/>
    <mergeCell ref="I3763:J3763"/>
    <mergeCell ref="F4020:F4021"/>
    <mergeCell ref="G3805:H3805"/>
    <mergeCell ref="B3827:D3827"/>
    <mergeCell ref="B3911:D3911"/>
    <mergeCell ref="J4028:L4028"/>
    <mergeCell ref="B4005:D4005"/>
    <mergeCell ref="A4013:L4013"/>
    <mergeCell ref="G4020:J4020"/>
    <mergeCell ref="G4021:J4021"/>
    <mergeCell ref="C4014:D4014"/>
    <mergeCell ref="J3969:L3969"/>
    <mergeCell ref="J4037:L4037"/>
    <mergeCell ref="B3719:D3719"/>
    <mergeCell ref="J3684:L3684"/>
    <mergeCell ref="J3693:L3693"/>
    <mergeCell ref="G3906:H3906"/>
    <mergeCell ref="B4039:D4039"/>
    <mergeCell ref="I4082:J4082"/>
    <mergeCell ref="B4083:D4083"/>
    <mergeCell ref="B4038:D4038"/>
    <mergeCell ref="G4038:H4038"/>
    <mergeCell ref="J4046:L4046"/>
    <mergeCell ref="J4054:L4054"/>
    <mergeCell ref="G3919:I3919"/>
    <mergeCell ref="G3934:I3934"/>
    <mergeCell ref="G3983:I3983"/>
    <mergeCell ref="G3994:I3994"/>
    <mergeCell ref="G4026:I4026"/>
    <mergeCell ref="G4066:I4066"/>
    <mergeCell ref="G4032:J4032"/>
    <mergeCell ref="G3689:J3689"/>
    <mergeCell ref="C3701:D3701"/>
    <mergeCell ref="B4016:D4016"/>
    <mergeCell ref="F4031:F4032"/>
    <mergeCell ref="I4080:J4080"/>
    <mergeCell ref="G4063:I4063"/>
    <mergeCell ref="G4074:J4074"/>
    <mergeCell ref="B4072:D4072"/>
    <mergeCell ref="G4060:J4060"/>
    <mergeCell ref="B4069:D4069"/>
    <mergeCell ref="G4041:J4041"/>
    <mergeCell ref="J4068:L4068"/>
    <mergeCell ref="C4054:D4054"/>
    <mergeCell ref="B4089:D4089"/>
    <mergeCell ref="J4096:L4096"/>
    <mergeCell ref="B4101:D4101"/>
    <mergeCell ref="A4138:L4138"/>
    <mergeCell ref="G4077:I4077"/>
    <mergeCell ref="C4079:D4079"/>
    <mergeCell ref="B4080:D4080"/>
    <mergeCell ref="G4118:I4118"/>
    <mergeCell ref="F4064:I4064"/>
    <mergeCell ref="A4086:L4086"/>
    <mergeCell ref="B4140:D4140"/>
    <mergeCell ref="B4144:D4144"/>
    <mergeCell ref="B4186:D4186"/>
    <mergeCell ref="B4158:D4158"/>
    <mergeCell ref="B4156:D4156"/>
    <mergeCell ref="I4149:J4149"/>
    <mergeCell ref="G4143:J4143"/>
    <mergeCell ref="I4180:J4180"/>
    <mergeCell ref="B4126:D4126"/>
    <mergeCell ref="A4067:L4067"/>
    <mergeCell ref="B4151:D4151"/>
    <mergeCell ref="G4106:H4106"/>
    <mergeCell ref="J4105:L4105"/>
    <mergeCell ref="B4103:D4103"/>
    <mergeCell ref="A4122:L4122"/>
    <mergeCell ref="A4095:L4095"/>
    <mergeCell ref="F4099:F4100"/>
    <mergeCell ref="G4099:J4099"/>
    <mergeCell ref="G4124:H4124"/>
    <mergeCell ref="B4099:D4099"/>
    <mergeCell ref="B4097:D4097"/>
    <mergeCell ref="B4127:D4127"/>
    <mergeCell ref="C4046:D4046"/>
    <mergeCell ref="B4047:D4047"/>
    <mergeCell ref="G4047:H4047"/>
    <mergeCell ref="B4055:D4055"/>
    <mergeCell ref="B4082:D4082"/>
    <mergeCell ref="B4071:D4071"/>
    <mergeCell ref="A4131:L4131"/>
    <mergeCell ref="A4136:L4137"/>
    <mergeCell ref="G4050:J4050"/>
    <mergeCell ref="B4091:D4091"/>
    <mergeCell ref="G4091:H4091"/>
    <mergeCell ref="G4055:H4055"/>
    <mergeCell ref="A4078:L4078"/>
    <mergeCell ref="I4083:J4083"/>
    <mergeCell ref="B4111:D4111"/>
    <mergeCell ref="B4124:D4124"/>
    <mergeCell ref="I4092:J4092"/>
    <mergeCell ref="K4124:L4124"/>
    <mergeCell ref="C4105:D4105"/>
    <mergeCell ref="B4059:D4059"/>
    <mergeCell ref="F4060:F4061"/>
    <mergeCell ref="F4073:F4074"/>
    <mergeCell ref="G4073:J4073"/>
    <mergeCell ref="K4106:L4106"/>
    <mergeCell ref="J4087:L4087"/>
    <mergeCell ref="C4087:D4087"/>
    <mergeCell ref="G4052:I4052"/>
    <mergeCell ref="B4081:D4081"/>
    <mergeCell ref="I4081:J4081"/>
    <mergeCell ref="B4085:D4085"/>
    <mergeCell ref="G4080:H4080"/>
    <mergeCell ref="B4106:D4106"/>
    <mergeCell ref="I4297:J4297"/>
    <mergeCell ref="I4298:J4298"/>
    <mergeCell ref="C4296:D4296"/>
    <mergeCell ref="G4267:H4267"/>
    <mergeCell ref="I4267:J4267"/>
    <mergeCell ref="A4244:L4244"/>
    <mergeCell ref="K4246:L4246"/>
    <mergeCell ref="A4281:L4281"/>
    <mergeCell ref="A4272:L4272"/>
    <mergeCell ref="G4220:H4220"/>
    <mergeCell ref="F4285:F4286"/>
    <mergeCell ref="G4285:J4285"/>
    <mergeCell ref="I4252:J4252"/>
    <mergeCell ref="B4254:D4254"/>
    <mergeCell ref="B4255:D4255"/>
    <mergeCell ref="I4255:J4255"/>
    <mergeCell ref="B4250:D4250"/>
    <mergeCell ref="I4250:J4250"/>
    <mergeCell ref="B4283:D4283"/>
    <mergeCell ref="B4252:D4252"/>
    <mergeCell ref="C4231:D4231"/>
    <mergeCell ref="J4231:L4231"/>
    <mergeCell ref="B4232:D4232"/>
    <mergeCell ref="G4232:H4232"/>
    <mergeCell ref="I4232:J4232"/>
    <mergeCell ref="B4233:D4233"/>
    <mergeCell ref="I4233:J4233"/>
    <mergeCell ref="B4234:D4234"/>
    <mergeCell ref="I4234:J4234"/>
    <mergeCell ref="B4235:D4235"/>
    <mergeCell ref="I4235:J4235"/>
    <mergeCell ref="B4243:D4243"/>
    <mergeCell ref="C4366:D4366"/>
    <mergeCell ref="B4336:D4336"/>
    <mergeCell ref="A4327:L4327"/>
    <mergeCell ref="J4362:L4362"/>
    <mergeCell ref="B4240:D4240"/>
    <mergeCell ref="G4413:H4413"/>
    <mergeCell ref="B4414:D4414"/>
    <mergeCell ref="A4167:L4167"/>
    <mergeCell ref="A4191:L4191"/>
    <mergeCell ref="A4199:L4199"/>
    <mergeCell ref="K4193:L4193"/>
    <mergeCell ref="K4283:L4283"/>
    <mergeCell ref="I4188:J4188"/>
    <mergeCell ref="B4320:D4320"/>
    <mergeCell ref="F4323:F4324"/>
    <mergeCell ref="J4343:L4343"/>
    <mergeCell ref="K4344:L4344"/>
    <mergeCell ref="J4338:L4338"/>
    <mergeCell ref="B4386:D4386"/>
    <mergeCell ref="G4364:H4364"/>
    <mergeCell ref="A4311:L4311"/>
    <mergeCell ref="A4317:L4317"/>
    <mergeCell ref="K4319:L4319"/>
    <mergeCell ref="A4230:L4230"/>
    <mergeCell ref="A4183:L4183"/>
    <mergeCell ref="B4395:D4395"/>
    <mergeCell ref="G4286:J4286"/>
    <mergeCell ref="C4209:D4209"/>
    <mergeCell ref="B4294:D4294"/>
    <mergeCell ref="B4297:D4297"/>
    <mergeCell ref="C4266:D4266"/>
    <mergeCell ref="B4267:D4267"/>
    <mergeCell ref="A4647:L4647"/>
    <mergeCell ref="B4090:D4090"/>
    <mergeCell ref="I4090:J4090"/>
    <mergeCell ref="C4068:D4068"/>
    <mergeCell ref="A4130:D4130"/>
    <mergeCell ref="B4093:D4093"/>
    <mergeCell ref="G4094:H4094"/>
    <mergeCell ref="B4179:D4179"/>
    <mergeCell ref="A4104:L4104"/>
    <mergeCell ref="A4147:L4147"/>
    <mergeCell ref="A4154:L4154"/>
    <mergeCell ref="J4139:L4139"/>
    <mergeCell ref="I4169:J4169"/>
    <mergeCell ref="C4168:D4168"/>
    <mergeCell ref="B4453:F4453"/>
    <mergeCell ref="B4149:D4149"/>
    <mergeCell ref="B4389:D4389"/>
    <mergeCell ref="I4240:J4240"/>
    <mergeCell ref="J4239:L4239"/>
    <mergeCell ref="B4247:D4247"/>
    <mergeCell ref="J4619:L4619"/>
    <mergeCell ref="B4125:D4125"/>
    <mergeCell ref="J4079:L4079"/>
    <mergeCell ref="B4248:D4248"/>
    <mergeCell ref="I4352:J4352"/>
    <mergeCell ref="J4192:L4192"/>
    <mergeCell ref="I4246:J4246"/>
    <mergeCell ref="B4242:D4242"/>
    <mergeCell ref="I4242:J4242"/>
    <mergeCell ref="C4239:D4239"/>
    <mergeCell ref="K4240:L4240"/>
    <mergeCell ref="J4245:L4245"/>
    <mergeCell ref="C4245:D4245"/>
    <mergeCell ref="B4246:D4246"/>
    <mergeCell ref="B4256:D4256"/>
    <mergeCell ref="I4256:J4256"/>
    <mergeCell ref="B4257:D4257"/>
    <mergeCell ref="I4257:J4257"/>
    <mergeCell ref="B4261:D4261"/>
    <mergeCell ref="B4249:D4249"/>
    <mergeCell ref="I4249:J4249"/>
    <mergeCell ref="B4241:D4241"/>
    <mergeCell ref="G4240:H4240"/>
    <mergeCell ref="A4221:L4221"/>
    <mergeCell ref="I4308:J4308"/>
    <mergeCell ref="C4376:D4376"/>
    <mergeCell ref="C4362:D4362"/>
    <mergeCell ref="B4645:D4645"/>
    <mergeCell ref="F4570:I4570"/>
    <mergeCell ref="A4591:L4591"/>
    <mergeCell ref="A4598:L4598"/>
    <mergeCell ref="A4613:L4613"/>
    <mergeCell ref="A4625:L4625"/>
    <mergeCell ref="A4635:L4635"/>
    <mergeCell ref="C4455:D4455"/>
    <mergeCell ref="B4446:D4446"/>
    <mergeCell ref="B4452:D4452"/>
    <mergeCell ref="B4459:D4459"/>
    <mergeCell ref="B4460:D4460"/>
    <mergeCell ref="H4465:J4465"/>
    <mergeCell ref="J4455:L4455"/>
    <mergeCell ref="G4450:J4450"/>
    <mergeCell ref="A4454:L4454"/>
    <mergeCell ref="G4486:H4486"/>
    <mergeCell ref="A4426:L4426"/>
    <mergeCell ref="B4447:D4447"/>
    <mergeCell ref="F4631:F4632"/>
    <mergeCell ref="G4631:J4631"/>
    <mergeCell ref="I4428:J4428"/>
    <mergeCell ref="A4393:L4393"/>
    <mergeCell ref="B4404:D4404"/>
    <mergeCell ref="B4405:D4405"/>
    <mergeCell ref="B4407:D4407"/>
    <mergeCell ref="G4632:J4632"/>
    <mergeCell ref="K4627:L4627"/>
    <mergeCell ref="F4450:F4451"/>
    <mergeCell ref="J4626:L4626"/>
    <mergeCell ref="C4619:D4619"/>
    <mergeCell ref="B4595:D4595"/>
    <mergeCell ref="G4577:J4577"/>
    <mergeCell ref="K4560:L4560"/>
    <mergeCell ref="B4565:D4565"/>
    <mergeCell ref="B4511:D4511"/>
    <mergeCell ref="G4510:H4510"/>
    <mergeCell ref="K4510:L4510"/>
    <mergeCell ref="B4594:D4594"/>
    <mergeCell ref="J4584:L4584"/>
    <mergeCell ref="G4567:J4567"/>
    <mergeCell ref="C4574:D4574"/>
    <mergeCell ref="B4406:D4406"/>
    <mergeCell ref="C4505:D4505"/>
    <mergeCell ref="G4506:H4506"/>
    <mergeCell ref="J4505:L4505"/>
    <mergeCell ref="C4412:D4412"/>
    <mergeCell ref="F4553:F4554"/>
    <mergeCell ref="B4586:D4586"/>
    <mergeCell ref="B4629:D4629"/>
    <mergeCell ref="I4620:J4620"/>
    <mergeCell ref="K4620:L4620"/>
    <mergeCell ref="G4528:H4528"/>
    <mergeCell ref="K4528:L4528"/>
    <mergeCell ref="B4529:D4529"/>
    <mergeCell ref="G4529:H4529"/>
    <mergeCell ref="B4542:D4542"/>
    <mergeCell ref="B4543:D4543"/>
    <mergeCell ref="J4559:L4559"/>
    <mergeCell ref="B4545:D4545"/>
    <mergeCell ref="G4593:H4593"/>
    <mergeCell ref="I4593:J4593"/>
    <mergeCell ref="B4547:D4547"/>
    <mergeCell ref="B4548:D4548"/>
    <mergeCell ref="B4549:D4549"/>
    <mergeCell ref="B4550:D4550"/>
    <mergeCell ref="B4551:D4551"/>
    <mergeCell ref="J4592:L4592"/>
    <mergeCell ref="A4603:L4603"/>
    <mergeCell ref="K4585:L4585"/>
    <mergeCell ref="K4486:L4486"/>
    <mergeCell ref="B4487:D4487"/>
    <mergeCell ref="G4487:H4487"/>
    <mergeCell ref="F4497:F4498"/>
    <mergeCell ref="B4510:D4510"/>
    <mergeCell ref="C4509:D4509"/>
    <mergeCell ref="B4562:D4562"/>
    <mergeCell ref="I4595:J4595"/>
    <mergeCell ref="G4588:J4588"/>
    <mergeCell ref="G4572:I4572"/>
    <mergeCell ref="G4554:J4554"/>
    <mergeCell ref="A4583:L4583"/>
    <mergeCell ref="G4612:I4612"/>
    <mergeCell ref="B4622:D4622"/>
    <mergeCell ref="I4622:J4622"/>
    <mergeCell ref="G4582:I4582"/>
    <mergeCell ref="G4610:J4610"/>
    <mergeCell ref="B4602:D4602"/>
    <mergeCell ref="G4600:H4600"/>
    <mergeCell ref="B4630:D4630"/>
    <mergeCell ref="B4528:D4528"/>
    <mergeCell ref="B4541:D4541"/>
    <mergeCell ref="C4599:D4599"/>
    <mergeCell ref="G4566:J4566"/>
    <mergeCell ref="B4563:D4563"/>
    <mergeCell ref="C4559:D4559"/>
    <mergeCell ref="C4626:D4626"/>
    <mergeCell ref="G4553:J4553"/>
    <mergeCell ref="I4532:J4532"/>
    <mergeCell ref="F4534:F4535"/>
    <mergeCell ref="G4534:J4534"/>
    <mergeCell ref="G4609:J4609"/>
    <mergeCell ref="G4590:I4590"/>
    <mergeCell ref="B4514:D4514"/>
    <mergeCell ref="G4514:H4514"/>
    <mergeCell ref="K4514:L4514"/>
    <mergeCell ref="B4515:D4515"/>
    <mergeCell ref="B4516:D4516"/>
    <mergeCell ref="B4517:D4517"/>
    <mergeCell ref="B4518:D4518"/>
    <mergeCell ref="B4520:D4520"/>
    <mergeCell ref="B4519:D4519"/>
    <mergeCell ref="B4617:D4617"/>
    <mergeCell ref="A4618:L4618"/>
    <mergeCell ref="I4594:J4594"/>
    <mergeCell ref="I4600:J4600"/>
    <mergeCell ref="K4615:L4615"/>
    <mergeCell ref="B4616:D4616"/>
    <mergeCell ref="I4616:J4616"/>
    <mergeCell ref="B4631:D4631"/>
    <mergeCell ref="B4601:D4601"/>
    <mergeCell ref="I4601:J4601"/>
    <mergeCell ref="J4604:L4604"/>
    <mergeCell ref="C4604:D4604"/>
    <mergeCell ref="B4605:D4605"/>
    <mergeCell ref="G4578:J4578"/>
    <mergeCell ref="B4585:D4585"/>
    <mergeCell ref="B4564:D4564"/>
    <mergeCell ref="A4512:L4512"/>
    <mergeCell ref="A4530:L4530"/>
    <mergeCell ref="A4539:L4539"/>
    <mergeCell ref="A4558:L4558"/>
    <mergeCell ref="J4599:L4599"/>
    <mergeCell ref="F4566:F4567"/>
    <mergeCell ref="C4584:D4584"/>
    <mergeCell ref="G4557:I4557"/>
    <mergeCell ref="B4546:D4546"/>
    <mergeCell ref="B4593:D4593"/>
    <mergeCell ref="J4527:L4527"/>
    <mergeCell ref="C4531:D4531"/>
    <mergeCell ref="B4533:D4533"/>
    <mergeCell ref="I4533:J4533"/>
    <mergeCell ref="I4627:J4627"/>
    <mergeCell ref="I4628:J4628"/>
    <mergeCell ref="I4629:J4629"/>
    <mergeCell ref="K4600:L4600"/>
    <mergeCell ref="F4609:F4610"/>
    <mergeCell ref="F4587:F4588"/>
    <mergeCell ref="G4587:J4587"/>
    <mergeCell ref="B4620:D4620"/>
    <mergeCell ref="G4620:H4620"/>
    <mergeCell ref="A4504:L4504"/>
    <mergeCell ref="B4606:D4606"/>
    <mergeCell ref="B4607:D4607"/>
    <mergeCell ref="B4608:D4608"/>
    <mergeCell ref="K4605:L4605"/>
    <mergeCell ref="J4540:L4540"/>
    <mergeCell ref="G4605:H4605"/>
    <mergeCell ref="F4501:I4501"/>
    <mergeCell ref="G4497:J4497"/>
    <mergeCell ref="G4498:J4498"/>
    <mergeCell ref="G4535:J4535"/>
    <mergeCell ref="B4532:D4532"/>
    <mergeCell ref="G4532:H4532"/>
    <mergeCell ref="A4573:L4573"/>
    <mergeCell ref="J4509:L4509"/>
    <mergeCell ref="G4511:H4511"/>
    <mergeCell ref="J4531:L4531"/>
    <mergeCell ref="B4544:D4544"/>
    <mergeCell ref="B4575:D4575"/>
    <mergeCell ref="G4575:H4575"/>
    <mergeCell ref="B4506:D4506"/>
    <mergeCell ref="B4560:D4560"/>
    <mergeCell ref="B4576:D4576"/>
    <mergeCell ref="J4574:L4574"/>
    <mergeCell ref="K4575:L4575"/>
    <mergeCell ref="F4577:F4578"/>
    <mergeCell ref="C4527:D4527"/>
    <mergeCell ref="C4540:D4540"/>
    <mergeCell ref="K4593:L4593"/>
    <mergeCell ref="G4585:H4585"/>
    <mergeCell ref="A4508:L4508"/>
    <mergeCell ref="B4600:D4600"/>
    <mergeCell ref="B4495:D4495"/>
    <mergeCell ref="B4469:D4469"/>
    <mergeCell ref="G4469:H4469"/>
    <mergeCell ref="B4464:D4464"/>
    <mergeCell ref="I4461:J4461"/>
    <mergeCell ref="I4462:J4462"/>
    <mergeCell ref="B4477:D4477"/>
    <mergeCell ref="K4482:L4482"/>
    <mergeCell ref="B4483:D4483"/>
    <mergeCell ref="G4483:H4483"/>
    <mergeCell ref="B4486:D4486"/>
    <mergeCell ref="I4463:J4463"/>
    <mergeCell ref="I4464:J4464"/>
    <mergeCell ref="I4475:J4475"/>
    <mergeCell ref="B4476:D4476"/>
    <mergeCell ref="B4470:D4470"/>
    <mergeCell ref="G4470:H4470"/>
    <mergeCell ref="I4477:J4477"/>
    <mergeCell ref="H4478:J4478"/>
    <mergeCell ref="B4473:D4473"/>
    <mergeCell ref="I4473:J4473"/>
    <mergeCell ref="I4476:J4476"/>
    <mergeCell ref="J4468:L4468"/>
    <mergeCell ref="C4485:D4485"/>
    <mergeCell ref="B4491:D4491"/>
    <mergeCell ref="C4436:D4436"/>
    <mergeCell ref="J4436:L4436"/>
    <mergeCell ref="B4440:D4440"/>
    <mergeCell ref="B4458:D4458"/>
    <mergeCell ref="A4444:L4444"/>
    <mergeCell ref="G4503:I4503"/>
    <mergeCell ref="B4493:D4493"/>
    <mergeCell ref="C4489:D4489"/>
    <mergeCell ref="B4490:D4490"/>
    <mergeCell ref="K4456:L4456"/>
    <mergeCell ref="B4492:D4492"/>
    <mergeCell ref="B4449:D4449"/>
    <mergeCell ref="A4484:L4484"/>
    <mergeCell ref="A4488:L4488"/>
    <mergeCell ref="I4437:J4437"/>
    <mergeCell ref="I4470:J4470"/>
    <mergeCell ref="B4471:D4471"/>
    <mergeCell ref="I4471:J4471"/>
    <mergeCell ref="B4472:D4472"/>
    <mergeCell ref="B4474:D4474"/>
    <mergeCell ref="I4474:J4474"/>
    <mergeCell ref="B4475:D4475"/>
    <mergeCell ref="J4481:L4481"/>
    <mergeCell ref="A4480:L4480"/>
    <mergeCell ref="J4489:L4489"/>
    <mergeCell ref="C4468:D4468"/>
    <mergeCell ref="C4481:D4481"/>
    <mergeCell ref="B4461:D4461"/>
    <mergeCell ref="A4467:L4467"/>
    <mergeCell ref="G4458:H4458"/>
    <mergeCell ref="K4490:L4490"/>
    <mergeCell ref="B4494:D4494"/>
    <mergeCell ref="B4428:D4428"/>
    <mergeCell ref="C4445:D4445"/>
    <mergeCell ref="B4457:D4457"/>
    <mergeCell ref="I4457:J4457"/>
    <mergeCell ref="G4428:H4428"/>
    <mergeCell ref="B9:D9"/>
    <mergeCell ref="I9:J9"/>
    <mergeCell ref="B10:D10"/>
    <mergeCell ref="I10:J10"/>
    <mergeCell ref="B7:D7"/>
    <mergeCell ref="I7:J7"/>
    <mergeCell ref="K7:L7"/>
    <mergeCell ref="B8:D8"/>
    <mergeCell ref="I8:J8"/>
    <mergeCell ref="G7:H7"/>
    <mergeCell ref="G11:H13"/>
    <mergeCell ref="I18:J18"/>
    <mergeCell ref="I19:J19"/>
    <mergeCell ref="A20:D21"/>
    <mergeCell ref="C23:D23"/>
    <mergeCell ref="J23:L23"/>
    <mergeCell ref="G24:H24"/>
    <mergeCell ref="I24:J24"/>
    <mergeCell ref="K24:L24"/>
    <mergeCell ref="B24:D24"/>
    <mergeCell ref="G4422:J4422"/>
    <mergeCell ref="C4427:D4427"/>
    <mergeCell ref="I4432:J4432"/>
    <mergeCell ref="B4437:D4437"/>
    <mergeCell ref="G4437:H4437"/>
    <mergeCell ref="G4456:H4456"/>
    <mergeCell ref="I4456:J4456"/>
    <mergeCell ref="I25:J25"/>
    <mergeCell ref="G27:H28"/>
    <mergeCell ref="A36:L36"/>
    <mergeCell ref="B26:D26"/>
    <mergeCell ref="I51:J51"/>
    <mergeCell ref="B58:D58"/>
    <mergeCell ref="G58:H58"/>
    <mergeCell ref="I58:J58"/>
    <mergeCell ref="K58:L58"/>
    <mergeCell ref="B53:D53"/>
    <mergeCell ref="I53:J53"/>
    <mergeCell ref="A55:D55"/>
    <mergeCell ref="A56:L56"/>
    <mergeCell ref="B25:D25"/>
    <mergeCell ref="C57:D57"/>
    <mergeCell ref="J57:L57"/>
    <mergeCell ref="J37:L37"/>
    <mergeCell ref="B38:D38"/>
    <mergeCell ref="B60:D60"/>
    <mergeCell ref="G38:H38"/>
    <mergeCell ref="I38:J38"/>
    <mergeCell ref="K38:L38"/>
    <mergeCell ref="I39:J39"/>
    <mergeCell ref="B40:D40"/>
    <mergeCell ref="I40:J40"/>
    <mergeCell ref="B41:D41"/>
    <mergeCell ref="I41:J41"/>
    <mergeCell ref="B42:D42"/>
    <mergeCell ref="I42:J42"/>
    <mergeCell ref="B43:D43"/>
    <mergeCell ref="I43:J43"/>
    <mergeCell ref="B39:D39"/>
    <mergeCell ref="B51:D51"/>
    <mergeCell ref="A46:L46"/>
    <mergeCell ref="A45:D45"/>
    <mergeCell ref="C47:D47"/>
    <mergeCell ref="J47:L47"/>
    <mergeCell ref="B48:D48"/>
    <mergeCell ref="G48:H48"/>
    <mergeCell ref="I48:J48"/>
    <mergeCell ref="K48:L48"/>
    <mergeCell ref="I49:J49"/>
    <mergeCell ref="B50:D50"/>
    <mergeCell ref="I50:J50"/>
    <mergeCell ref="B49:D49"/>
    <mergeCell ref="I60:J60"/>
    <mergeCell ref="B59:D59"/>
    <mergeCell ref="G4185:H4185"/>
    <mergeCell ref="I4185:J4185"/>
    <mergeCell ref="I4187:J4187"/>
    <mergeCell ref="B4088:D4088"/>
    <mergeCell ref="G4088:H4088"/>
    <mergeCell ref="I4088:J4088"/>
    <mergeCell ref="C4192:D4192"/>
    <mergeCell ref="B4193:D4193"/>
    <mergeCell ref="G4193:H4193"/>
    <mergeCell ref="I4241:J4241"/>
    <mergeCell ref="A4175:L4175"/>
    <mergeCell ref="I3999:J3999"/>
    <mergeCell ref="I59:J59"/>
    <mergeCell ref="B61:D61"/>
    <mergeCell ref="I61:J61"/>
    <mergeCell ref="B235:D235"/>
    <mergeCell ref="B236:D236"/>
    <mergeCell ref="B237:D237"/>
    <mergeCell ref="B238:D238"/>
    <mergeCell ref="B239:D239"/>
    <mergeCell ref="B73:D73"/>
    <mergeCell ref="I73:J73"/>
    <mergeCell ref="B74:D74"/>
    <mergeCell ref="I74:J74"/>
    <mergeCell ref="B75:D75"/>
    <mergeCell ref="I75:J75"/>
    <mergeCell ref="B76:D76"/>
    <mergeCell ref="I76:J76"/>
    <mergeCell ref="A79:L79"/>
    <mergeCell ref="C84:D84"/>
    <mergeCell ref="I71:J71"/>
    <mergeCell ref="J84:L84"/>
    <mergeCell ref="B85:D85"/>
    <mergeCell ref="G85:H85"/>
    <mergeCell ref="I85:J85"/>
    <mergeCell ref="K85:L85"/>
    <mergeCell ref="C95:D95"/>
    <mergeCell ref="I89:J89"/>
    <mergeCell ref="I90:J90"/>
    <mergeCell ref="C80:D80"/>
    <mergeCell ref="I4643:J4643"/>
    <mergeCell ref="G4642:H4642"/>
    <mergeCell ref="I4642:J4642"/>
    <mergeCell ref="K4642:L4642"/>
    <mergeCell ref="K961:L961"/>
    <mergeCell ref="B4439:D4439"/>
    <mergeCell ref="I4439:J4439"/>
    <mergeCell ref="I4440:J4440"/>
    <mergeCell ref="B4441:D4441"/>
    <mergeCell ref="I4441:J4441"/>
    <mergeCell ref="K3221:L3221"/>
    <mergeCell ref="K3348:L3348"/>
    <mergeCell ref="K3343:L3343"/>
    <mergeCell ref="I3898:J3898"/>
    <mergeCell ref="B3899:D3899"/>
    <mergeCell ref="B4434:C4434"/>
    <mergeCell ref="B4438:D4438"/>
    <mergeCell ref="I4438:J4438"/>
    <mergeCell ref="B4642:D4642"/>
    <mergeCell ref="F4421:F4422"/>
    <mergeCell ref="G4421:J4421"/>
    <mergeCell ref="A3652:L3652"/>
    <mergeCell ref="J4412:L4412"/>
    <mergeCell ref="G4121:I4121"/>
    <mergeCell ref="B63:D63"/>
    <mergeCell ref="I63:J63"/>
    <mergeCell ref="B64:D64"/>
    <mergeCell ref="I64:J64"/>
    <mergeCell ref="A66:D66"/>
    <mergeCell ref="A67:L67"/>
    <mergeCell ref="C68:D68"/>
    <mergeCell ref="J68:L68"/>
    <mergeCell ref="I69:J69"/>
    <mergeCell ref="B70:D70"/>
    <mergeCell ref="I70:J70"/>
    <mergeCell ref="B71:D71"/>
    <mergeCell ref="J3905:L3905"/>
    <mergeCell ref="J4376:L4376"/>
    <mergeCell ref="A4337:L4337"/>
    <mergeCell ref="K4437:L4437"/>
    <mergeCell ref="I3533:J3533"/>
    <mergeCell ref="A3409:L3409"/>
    <mergeCell ref="B250:D250"/>
    <mergeCell ref="B251:D251"/>
    <mergeCell ref="B254:D254"/>
    <mergeCell ref="A255:D256"/>
    <mergeCell ref="G256:H256"/>
    <mergeCell ref="B457:D457"/>
    <mergeCell ref="I457:J457"/>
    <mergeCell ref="G456:H456"/>
    <mergeCell ref="B277:D277"/>
    <mergeCell ref="B278:D278"/>
    <mergeCell ref="G280:H280"/>
    <mergeCell ref="A282:L282"/>
    <mergeCell ref="A268:D269"/>
    <mergeCell ref="A77:D78"/>
    <mergeCell ref="I4644:J4644"/>
    <mergeCell ref="G750:I750"/>
    <mergeCell ref="G760:I760"/>
    <mergeCell ref="B785:D785"/>
    <mergeCell ref="I884:J884"/>
    <mergeCell ref="I885:J885"/>
    <mergeCell ref="I886:J886"/>
    <mergeCell ref="I887:J887"/>
    <mergeCell ref="I888:J888"/>
    <mergeCell ref="I889:J889"/>
    <mergeCell ref="I883:J883"/>
    <mergeCell ref="G895:I895"/>
    <mergeCell ref="B961:D961"/>
    <mergeCell ref="G961:H961"/>
    <mergeCell ref="I961:J961"/>
    <mergeCell ref="I4458:J4458"/>
    <mergeCell ref="I4459:J4459"/>
    <mergeCell ref="G4490:H4490"/>
    <mergeCell ref="G4453:I4453"/>
    <mergeCell ref="G4500:I4500"/>
    <mergeCell ref="I4469:J4469"/>
    <mergeCell ref="B4462:D4462"/>
    <mergeCell ref="B4463:D4463"/>
    <mergeCell ref="J4427:L4427"/>
    <mergeCell ref="B4448:D4448"/>
    <mergeCell ref="B4456:D4456"/>
    <mergeCell ref="G4451:J4451"/>
    <mergeCell ref="G4374:I4374"/>
    <mergeCell ref="A2370:D2371"/>
    <mergeCell ref="A2385:D2386"/>
    <mergeCell ref="A2398:D2399"/>
    <mergeCell ref="G3791:I3791"/>
    <mergeCell ref="B3639:D3639"/>
    <mergeCell ref="B3381:D3381"/>
    <mergeCell ref="B3821:D3821"/>
    <mergeCell ref="A3822:F3822"/>
    <mergeCell ref="A3823:L3823"/>
    <mergeCell ref="G647:I647"/>
    <mergeCell ref="G662:I662"/>
    <mergeCell ref="A943:L943"/>
    <mergeCell ref="G721:H721"/>
    <mergeCell ref="B715:D715"/>
    <mergeCell ref="I715:J715"/>
    <mergeCell ref="G2694:I2694"/>
    <mergeCell ref="G3197:I3197"/>
    <mergeCell ref="G3217:I3217"/>
    <mergeCell ref="G3237:I3237"/>
    <mergeCell ref="G3269:I3269"/>
    <mergeCell ref="G3315:I3315"/>
    <mergeCell ref="G3386:I3386"/>
    <mergeCell ref="G2830:I2830"/>
    <mergeCell ref="B2833:D2833"/>
    <mergeCell ref="B2727:D2727"/>
    <mergeCell ref="I2708:J2708"/>
    <mergeCell ref="G3679:J3679"/>
    <mergeCell ref="G3186:H3186"/>
    <mergeCell ref="B3187:D3187"/>
    <mergeCell ref="A3683:L3683"/>
    <mergeCell ref="J923:L923"/>
    <mergeCell ref="F3194:F3195"/>
    <mergeCell ref="G3194:J3194"/>
    <mergeCell ref="B3753:D3753"/>
    <mergeCell ref="A3207:L3207"/>
    <mergeCell ref="B3188:D3188"/>
    <mergeCell ref="I4089:J4089"/>
    <mergeCell ref="B657:D657"/>
    <mergeCell ref="B561:D561"/>
    <mergeCell ref="B3820:D3820"/>
    <mergeCell ref="G3150:I3150"/>
    <mergeCell ref="G3238:I3238"/>
    <mergeCell ref="G3533:H3533"/>
    <mergeCell ref="J4303:L4303"/>
    <mergeCell ref="J4296:L4296"/>
    <mergeCell ref="C4303:D4303"/>
    <mergeCell ref="B4308:D4308"/>
    <mergeCell ref="B4293:D4293"/>
    <mergeCell ref="I4193:J4193"/>
    <mergeCell ref="E402:H402"/>
    <mergeCell ref="G928:H928"/>
    <mergeCell ref="A279:D280"/>
    <mergeCell ref="B339:D339"/>
    <mergeCell ref="G3898:H3898"/>
    <mergeCell ref="E3764:H3764"/>
    <mergeCell ref="G378:H378"/>
    <mergeCell ref="G3685:H3685"/>
    <mergeCell ref="J3891:L3891"/>
    <mergeCell ref="I924:J924"/>
    <mergeCell ref="K924:L924"/>
    <mergeCell ref="B925:D925"/>
    <mergeCell ref="G925:H925"/>
    <mergeCell ref="I925:J925"/>
    <mergeCell ref="B926:D926"/>
    <mergeCell ref="I378:J378"/>
    <mergeCell ref="K378:L378"/>
    <mergeCell ref="B379:D379"/>
    <mergeCell ref="I379:J379"/>
    <mergeCell ref="B263:D263"/>
    <mergeCell ref="G3353:J3353"/>
    <mergeCell ref="B962:D962"/>
    <mergeCell ref="I962:J962"/>
    <mergeCell ref="I963:J963"/>
    <mergeCell ref="I964:J964"/>
    <mergeCell ref="I965:J965"/>
    <mergeCell ref="C3626:D3626"/>
    <mergeCell ref="I369:J369"/>
    <mergeCell ref="K369:L369"/>
    <mergeCell ref="B370:D370"/>
    <mergeCell ref="I370:J370"/>
    <mergeCell ref="B371:D371"/>
    <mergeCell ref="I371:J371"/>
    <mergeCell ref="B372:D372"/>
    <mergeCell ref="I372:J372"/>
    <mergeCell ref="G561:H561"/>
    <mergeCell ref="B581:D581"/>
    <mergeCell ref="B556:D556"/>
    <mergeCell ref="G556:H556"/>
    <mergeCell ref="J560:L560"/>
    <mergeCell ref="B465:D465"/>
    <mergeCell ref="A373:I373"/>
    <mergeCell ref="B374:D374"/>
    <mergeCell ref="I374:J374"/>
    <mergeCell ref="B375:D375"/>
    <mergeCell ref="E375:F375"/>
    <mergeCell ref="G375:H375"/>
    <mergeCell ref="A376:L376"/>
    <mergeCell ref="C377:D377"/>
    <mergeCell ref="J377:L377"/>
    <mergeCell ref="B378:D378"/>
    <mergeCell ref="I4430:J4430"/>
    <mergeCell ref="I4431:J4431"/>
    <mergeCell ref="G4440:H4440"/>
    <mergeCell ref="F891:F892"/>
    <mergeCell ref="G891:J891"/>
    <mergeCell ref="G892:J892"/>
    <mergeCell ref="A4435:L4435"/>
    <mergeCell ref="K4413:L4413"/>
    <mergeCell ref="B4402:D4402"/>
    <mergeCell ref="B4433:D4433"/>
    <mergeCell ref="G4425:I4425"/>
    <mergeCell ref="K4428:L4428"/>
    <mergeCell ref="B4415:D4415"/>
    <mergeCell ref="B4416:D4416"/>
    <mergeCell ref="B4417:D4417"/>
    <mergeCell ref="B4418:D4418"/>
    <mergeCell ref="B4419:D4419"/>
    <mergeCell ref="B4413:D4413"/>
    <mergeCell ref="G926:H926"/>
    <mergeCell ref="I926:J926"/>
    <mergeCell ref="B928:D928"/>
    <mergeCell ref="E928:F928"/>
    <mergeCell ref="B3862:D3862"/>
    <mergeCell ref="B3533:D3533"/>
    <mergeCell ref="B3746:D3746"/>
    <mergeCell ref="J4394:L4394"/>
    <mergeCell ref="A4408:D4409"/>
    <mergeCell ref="B4430:D4430"/>
    <mergeCell ref="B4431:D4431"/>
    <mergeCell ref="B4432:D4432"/>
    <mergeCell ref="B4397:D4397"/>
    <mergeCell ref="B4398:D4398"/>
    <mergeCell ref="B4399:D4399"/>
    <mergeCell ref="B4400:D4400"/>
    <mergeCell ref="B4401:D4401"/>
    <mergeCell ref="B4429:D4429"/>
    <mergeCell ref="C4394:D4394"/>
    <mergeCell ref="B4420:D4420"/>
    <mergeCell ref="C357:D357"/>
    <mergeCell ref="J357:L357"/>
    <mergeCell ref="B358:D358"/>
    <mergeCell ref="G358:H358"/>
    <mergeCell ref="K358:L358"/>
    <mergeCell ref="B359:D359"/>
    <mergeCell ref="G359:H359"/>
    <mergeCell ref="B360:D360"/>
    <mergeCell ref="G360:H360"/>
    <mergeCell ref="B361:D361"/>
    <mergeCell ref="G361:H361"/>
    <mergeCell ref="B362:D362"/>
    <mergeCell ref="G362:H362"/>
    <mergeCell ref="B363:D363"/>
    <mergeCell ref="G363:H363"/>
    <mergeCell ref="B364:D364"/>
    <mergeCell ref="G686:I686"/>
    <mergeCell ref="G364:H364"/>
    <mergeCell ref="B365:D365"/>
    <mergeCell ref="B366:D366"/>
    <mergeCell ref="G366:I366"/>
    <mergeCell ref="A367:L367"/>
    <mergeCell ref="C368:D368"/>
    <mergeCell ref="J368:L368"/>
    <mergeCell ref="C369:D369"/>
    <mergeCell ref="G369:H369"/>
    <mergeCell ref="B380:D380"/>
    <mergeCell ref="I380:J380"/>
    <mergeCell ref="C545:D545"/>
    <mergeCell ref="J545:L545"/>
    <mergeCell ref="B3226:D3226"/>
    <mergeCell ref="G3226:H3226"/>
    <mergeCell ref="B3186:D3186"/>
    <mergeCell ref="B3818:D3818"/>
    <mergeCell ref="G3818:H3818"/>
    <mergeCell ref="B3819:D3819"/>
    <mergeCell ref="B3676:D3676"/>
    <mergeCell ref="G3676:H3676"/>
    <mergeCell ref="B3677:D3677"/>
    <mergeCell ref="F3678:F3679"/>
    <mergeCell ref="G3678:J3678"/>
    <mergeCell ref="G2539:I2539"/>
    <mergeCell ref="G2549:I2549"/>
    <mergeCell ref="G2566:I2566"/>
    <mergeCell ref="G2641:I2641"/>
    <mergeCell ref="G3802:I3802"/>
    <mergeCell ref="K3226:L3226"/>
    <mergeCell ref="C3185:D3185"/>
    <mergeCell ref="B3680:D3680"/>
    <mergeCell ref="J3653:L3653"/>
    <mergeCell ref="C3240:D3240"/>
    <mergeCell ref="B3241:D3241"/>
    <mergeCell ref="G3241:H3241"/>
    <mergeCell ref="I3241:J3241"/>
    <mergeCell ref="J3701:L3701"/>
    <mergeCell ref="C2800:D2800"/>
    <mergeCell ref="C2832:D2832"/>
    <mergeCell ref="J2832:L2832"/>
    <mergeCell ref="B448:D448"/>
    <mergeCell ref="K446:L446"/>
    <mergeCell ref="B447:D447"/>
    <mergeCell ref="B477:D477"/>
    <mergeCell ref="A688:C688"/>
    <mergeCell ref="A690:C690"/>
    <mergeCell ref="A672:L672"/>
    <mergeCell ref="A695:C695"/>
    <mergeCell ref="G3313:J3313"/>
    <mergeCell ref="C3307:D3307"/>
    <mergeCell ref="C3817:D3817"/>
    <mergeCell ref="J3817:L3817"/>
    <mergeCell ref="C463:D463"/>
    <mergeCell ref="B446:D446"/>
    <mergeCell ref="G2637:J2637"/>
    <mergeCell ref="G2642:I2642"/>
    <mergeCell ref="K2666:L2666"/>
    <mergeCell ref="A2654:L2654"/>
    <mergeCell ref="B2619:D2619"/>
    <mergeCell ref="D2608:L2608"/>
    <mergeCell ref="A2605:L2605"/>
    <mergeCell ref="B3191:D3191"/>
    <mergeCell ref="J3208:L3208"/>
    <mergeCell ref="B3062:D3062"/>
    <mergeCell ref="B3079:D3079"/>
    <mergeCell ref="C3112:D3112"/>
    <mergeCell ref="B1623:D1623"/>
    <mergeCell ref="G538:I538"/>
    <mergeCell ref="G543:I543"/>
    <mergeCell ref="G548:I548"/>
    <mergeCell ref="G553:I553"/>
    <mergeCell ref="G558:I558"/>
    <mergeCell ref="G1816:I1816"/>
    <mergeCell ref="G1901:I1901"/>
    <mergeCell ref="G1982:I1982"/>
    <mergeCell ref="B2011:D2011"/>
    <mergeCell ref="G2011:I2011"/>
    <mergeCell ref="G2089:I2089"/>
    <mergeCell ref="G2114:I2114"/>
    <mergeCell ref="G2129:I2129"/>
    <mergeCell ref="G2198:I2198"/>
    <mergeCell ref="I383:J383"/>
    <mergeCell ref="B384:D384"/>
    <mergeCell ref="B385:F385"/>
    <mergeCell ref="G385:H385"/>
    <mergeCell ref="A386:L386"/>
    <mergeCell ref="G1646:I1646"/>
    <mergeCell ref="C435:D435"/>
    <mergeCell ref="J435:L435"/>
    <mergeCell ref="B436:D436"/>
    <mergeCell ref="I436:J436"/>
    <mergeCell ref="K436:L436"/>
    <mergeCell ref="B437:D437"/>
    <mergeCell ref="I437:J437"/>
    <mergeCell ref="B438:D438"/>
    <mergeCell ref="E438:F438"/>
    <mergeCell ref="G438:H438"/>
    <mergeCell ref="A439:L439"/>
    <mergeCell ref="C923:D923"/>
    <mergeCell ref="C924:D924"/>
    <mergeCell ref="G924:H924"/>
    <mergeCell ref="A942:F942"/>
    <mergeCell ref="F485:F486"/>
    <mergeCell ref="B562:D562"/>
    <mergeCell ref="G2400:I2400"/>
    <mergeCell ref="K2726:L2726"/>
    <mergeCell ref="I2699:J2699"/>
    <mergeCell ref="J2402:L2402"/>
    <mergeCell ref="G199:I199"/>
    <mergeCell ref="G214:I214"/>
    <mergeCell ref="G230:I230"/>
    <mergeCell ref="G242:I242"/>
    <mergeCell ref="G257:I257"/>
    <mergeCell ref="G270:I270"/>
    <mergeCell ref="G281:I281"/>
    <mergeCell ref="G294:I294"/>
    <mergeCell ref="G306:I306"/>
    <mergeCell ref="G586:I586"/>
    <mergeCell ref="G2775:I2775"/>
    <mergeCell ref="G2713:H2713"/>
    <mergeCell ref="I2656:J2656"/>
    <mergeCell ref="I2662:J2662"/>
    <mergeCell ref="G2686:H2686"/>
    <mergeCell ref="J2712:L2712"/>
    <mergeCell ref="I2478:J2478"/>
    <mergeCell ref="K2478:L2478"/>
    <mergeCell ref="I2511:J2511"/>
    <mergeCell ref="K2511:L2511"/>
    <mergeCell ref="G2497:I2497"/>
    <mergeCell ref="I1698:J1698"/>
    <mergeCell ref="G1524:I1524"/>
    <mergeCell ref="G1600:I1600"/>
    <mergeCell ref="G1623:I1623"/>
    <mergeCell ref="G1666:I1666"/>
    <mergeCell ref="G1786:I1786"/>
    <mergeCell ref="G1801:I1801"/>
    <mergeCell ref="B381:D381"/>
    <mergeCell ref="I381:J381"/>
    <mergeCell ref="B382:D382"/>
    <mergeCell ref="I382:J382"/>
    <mergeCell ref="B383:D383"/>
    <mergeCell ref="G3889:I3889"/>
    <mergeCell ref="G4410:I4410"/>
    <mergeCell ref="G4043:I4043"/>
    <mergeCell ref="B4102:D4102"/>
    <mergeCell ref="G4102:I4102"/>
    <mergeCell ref="G4145:I4145"/>
    <mergeCell ref="G2070:I2070"/>
    <mergeCell ref="G2071:I2071"/>
    <mergeCell ref="G3418:I3418"/>
    <mergeCell ref="A3259:L3259"/>
    <mergeCell ref="B3258:D3258"/>
    <mergeCell ref="C3260:D3260"/>
    <mergeCell ref="J3255:L3255"/>
    <mergeCell ref="K3246:L3246"/>
    <mergeCell ref="A3254:L3254"/>
    <mergeCell ref="B3106:D3106"/>
    <mergeCell ref="C3166:D3166"/>
    <mergeCell ref="B3401:D3401"/>
    <mergeCell ref="B3402:D3402"/>
    <mergeCell ref="B3620:D3620"/>
    <mergeCell ref="F3621:F3622"/>
    <mergeCell ref="B3334:D3334"/>
    <mergeCell ref="G3681:I3681"/>
    <mergeCell ref="G2829:I2829"/>
    <mergeCell ref="G2950:I2950"/>
    <mergeCell ref="G2372:I2372"/>
    <mergeCell ref="G2387:I2387"/>
  </mergeCells>
  <phoneticPr fontId="26" type="noConversion"/>
  <conditionalFormatting sqref="P3665:P3671 P3656:P3662 Q3657:Q3658 Q3675:Q3677 Q3679:Q3680">
    <cfRule type="duplicateValues" dxfId="190" priority="142"/>
  </conditionalFormatting>
  <conditionalFormatting sqref="P4260:P4261">
    <cfRule type="duplicateValues" dxfId="189" priority="960"/>
  </conditionalFormatting>
  <conditionalFormatting sqref="P4375:P4376">
    <cfRule type="duplicateValues" dxfId="188" priority="58"/>
  </conditionalFormatting>
  <conditionalFormatting sqref="P4379">
    <cfRule type="duplicateValues" dxfId="187" priority="1249"/>
  </conditionalFormatting>
  <conditionalFormatting sqref="Q79 Q67 Q56 Q46 Q36 Q22 S10:S21 S25:S35 S40:S45 S49:S55 S59:S66 S71:S78">
    <cfRule type="duplicateValues" dxfId="186" priority="1136"/>
  </conditionalFormatting>
  <conditionalFormatting sqref="Q80">
    <cfRule type="duplicateValues" dxfId="185" priority="481"/>
  </conditionalFormatting>
  <conditionalFormatting sqref="Q81:Q83">
    <cfRule type="duplicateValues" dxfId="184" priority="1137"/>
  </conditionalFormatting>
  <conditionalFormatting sqref="Q94 S87:S93">
    <cfRule type="duplicateValues" dxfId="183" priority="28"/>
  </conditionalFormatting>
  <conditionalFormatting sqref="Q95">
    <cfRule type="duplicateValues" dxfId="182" priority="1141"/>
  </conditionalFormatting>
  <conditionalFormatting sqref="Q98">
    <cfRule type="duplicateValues" dxfId="181" priority="1145"/>
  </conditionalFormatting>
  <conditionalFormatting sqref="Q108 S102:S104 S106:S107">
    <cfRule type="duplicateValues" dxfId="180" priority="27"/>
  </conditionalFormatting>
  <conditionalFormatting sqref="Q111">
    <cfRule type="duplicateValues" dxfId="179" priority="525"/>
  </conditionalFormatting>
  <conditionalFormatting sqref="Q121 S115:S120">
    <cfRule type="duplicateValues" dxfId="178" priority="25"/>
  </conditionalFormatting>
  <conditionalFormatting sqref="Q130 S124:S129">
    <cfRule type="duplicateValues" dxfId="177" priority="24"/>
  </conditionalFormatting>
  <conditionalFormatting sqref="Q132:Q133">
    <cfRule type="duplicateValues" dxfId="176" priority="1013"/>
  </conditionalFormatting>
  <conditionalFormatting sqref="Q154:Q158">
    <cfRule type="duplicateValues" dxfId="175" priority="1254"/>
  </conditionalFormatting>
  <conditionalFormatting sqref="Q161:Q162 Q168:Q169 Q172:Q177">
    <cfRule type="duplicateValues" dxfId="174" priority="367"/>
  </conditionalFormatting>
  <conditionalFormatting sqref="Q163">
    <cfRule type="duplicateValues" dxfId="173" priority="76"/>
  </conditionalFormatting>
  <conditionalFormatting sqref="Q165:Q166">
    <cfRule type="duplicateValues" dxfId="172" priority="74"/>
  </conditionalFormatting>
  <conditionalFormatting sqref="Q171">
    <cfRule type="duplicateValues" dxfId="171" priority="18"/>
  </conditionalFormatting>
  <conditionalFormatting sqref="Q181:Q182 Q185:Q186 Q188">
    <cfRule type="duplicateValues" dxfId="170" priority="445"/>
  </conditionalFormatting>
  <conditionalFormatting sqref="Q183">
    <cfRule type="duplicateValues" dxfId="169" priority="72"/>
  </conditionalFormatting>
  <conditionalFormatting sqref="Q189">
    <cfRule type="duplicateValues" dxfId="168" priority="17"/>
  </conditionalFormatting>
  <conditionalFormatting sqref="Q197">
    <cfRule type="duplicateValues" dxfId="167" priority="417"/>
  </conditionalFormatting>
  <conditionalFormatting sqref="Q199">
    <cfRule type="duplicateValues" dxfId="166" priority="16"/>
  </conditionalFormatting>
  <conditionalFormatting sqref="Q214">
    <cfRule type="duplicateValues" dxfId="165" priority="15"/>
  </conditionalFormatting>
  <conditionalFormatting sqref="Q230">
    <cfRule type="duplicateValues" dxfId="164" priority="14"/>
  </conditionalFormatting>
  <conditionalFormatting sqref="Q240 Q212 Q228 Q255">
    <cfRule type="duplicateValues" dxfId="163" priority="1176"/>
  </conditionalFormatting>
  <conditionalFormatting sqref="Q242">
    <cfRule type="duplicateValues" dxfId="162" priority="13"/>
  </conditionalFormatting>
  <conditionalFormatting sqref="Q257">
    <cfRule type="duplicateValues" dxfId="161" priority="12"/>
  </conditionalFormatting>
  <conditionalFormatting sqref="Q270">
    <cfRule type="duplicateValues" dxfId="160" priority="11"/>
  </conditionalFormatting>
  <conditionalFormatting sqref="Q280">
    <cfRule type="duplicateValues" dxfId="159" priority="973"/>
  </conditionalFormatting>
  <conditionalFormatting sqref="Q281">
    <cfRule type="duplicateValues" dxfId="158" priority="10"/>
  </conditionalFormatting>
  <conditionalFormatting sqref="Q294">
    <cfRule type="duplicateValues" dxfId="157" priority="9"/>
  </conditionalFormatting>
  <conditionalFormatting sqref="Q306">
    <cfRule type="duplicateValues" dxfId="156" priority="8"/>
  </conditionalFormatting>
  <conditionalFormatting sqref="Q329:Q335 Q337">
    <cfRule type="duplicateValues" dxfId="155" priority="197"/>
  </conditionalFormatting>
  <conditionalFormatting sqref="Q336">
    <cfRule type="duplicateValues" dxfId="154" priority="196"/>
  </conditionalFormatting>
  <conditionalFormatting sqref="Q341:Q342">
    <cfRule type="duplicateValues" dxfId="153" priority="108"/>
  </conditionalFormatting>
  <conditionalFormatting sqref="Q392">
    <cfRule type="duplicateValues" dxfId="152" priority="1168"/>
  </conditionalFormatting>
  <conditionalFormatting sqref="Q397">
    <cfRule type="duplicateValues" dxfId="151" priority="1233"/>
  </conditionalFormatting>
  <conditionalFormatting sqref="Q401:Q402">
    <cfRule type="duplicateValues" dxfId="150" priority="186"/>
  </conditionalFormatting>
  <conditionalFormatting sqref="Q406:Q410">
    <cfRule type="duplicateValues" dxfId="149" priority="185"/>
  </conditionalFormatting>
  <conditionalFormatting sqref="Q414:Q415">
    <cfRule type="duplicateValues" dxfId="148" priority="237"/>
  </conditionalFormatting>
  <conditionalFormatting sqref="Q419:Q420">
    <cfRule type="duplicateValues" dxfId="147" priority="236"/>
  </conditionalFormatting>
  <conditionalFormatting sqref="Q508">
    <cfRule type="duplicateValues" dxfId="146" priority="1186"/>
  </conditionalFormatting>
  <conditionalFormatting sqref="Q543:Q544">
    <cfRule type="duplicateValues" dxfId="145" priority="68"/>
  </conditionalFormatting>
  <conditionalFormatting sqref="Q546">
    <cfRule type="duplicateValues" dxfId="144" priority="67"/>
  </conditionalFormatting>
  <conditionalFormatting sqref="Q548:Q551">
    <cfRule type="duplicateValues" dxfId="143" priority="302"/>
  </conditionalFormatting>
  <conditionalFormatting sqref="Q553:Q555">
    <cfRule type="duplicateValues" dxfId="142" priority="676"/>
  </conditionalFormatting>
  <conditionalFormatting sqref="Q586">
    <cfRule type="duplicateValues" dxfId="141" priority="7"/>
  </conditionalFormatting>
  <conditionalFormatting sqref="Q594 Q596">
    <cfRule type="duplicateValues" dxfId="140" priority="232"/>
  </conditionalFormatting>
  <conditionalFormatting sqref="Q615:Q616">
    <cfRule type="duplicateValues" dxfId="139" priority="194"/>
  </conditionalFormatting>
  <conditionalFormatting sqref="Q650:Q651">
    <cfRule type="duplicateValues" dxfId="138" priority="231"/>
  </conditionalFormatting>
  <conditionalFormatting sqref="Q691:Q692">
    <cfRule type="duplicateValues" dxfId="137" priority="229"/>
  </conditionalFormatting>
  <conditionalFormatting sqref="Q748:Q749">
    <cfRule type="duplicateValues" dxfId="136" priority="183"/>
  </conditionalFormatting>
  <conditionalFormatting sqref="Q764:Q765">
    <cfRule type="duplicateValues" dxfId="135" priority="182"/>
  </conditionalFormatting>
  <conditionalFormatting sqref="Q769:Q770">
    <cfRule type="duplicateValues" dxfId="134" priority="181"/>
  </conditionalFormatting>
  <conditionalFormatting sqref="Q776:Q778">
    <cfRule type="duplicateValues" dxfId="133" priority="106"/>
  </conditionalFormatting>
  <conditionalFormatting sqref="Q782:Q783">
    <cfRule type="duplicateValues" dxfId="132" priority="1191"/>
  </conditionalFormatting>
  <conditionalFormatting sqref="Q787:Q788">
    <cfRule type="duplicateValues" dxfId="131" priority="180"/>
  </conditionalFormatting>
  <conditionalFormatting sqref="Q791:Q792">
    <cfRule type="duplicateValues" dxfId="130" priority="178"/>
  </conditionalFormatting>
  <conditionalFormatting sqref="Q796:Q797">
    <cfRule type="duplicateValues" dxfId="129" priority="179"/>
  </conditionalFormatting>
  <conditionalFormatting sqref="Q801:Q802">
    <cfRule type="duplicateValues" dxfId="128" priority="113"/>
  </conditionalFormatting>
  <conditionalFormatting sqref="Q806:Q807">
    <cfRule type="duplicateValues" dxfId="127" priority="227"/>
  </conditionalFormatting>
  <conditionalFormatting sqref="Q812:Q813">
    <cfRule type="duplicateValues" dxfId="126" priority="177"/>
  </conditionalFormatting>
  <conditionalFormatting sqref="Q817:Q818">
    <cfRule type="duplicateValues" dxfId="125" priority="226"/>
  </conditionalFormatting>
  <conditionalFormatting sqref="Q839:Q840">
    <cfRule type="duplicateValues" dxfId="124" priority="225"/>
  </conditionalFormatting>
  <conditionalFormatting sqref="Q844:Q845">
    <cfRule type="duplicateValues" dxfId="123" priority="224"/>
  </conditionalFormatting>
  <conditionalFormatting sqref="Q849 Q851">
    <cfRule type="duplicateValues" dxfId="122" priority="223"/>
  </conditionalFormatting>
  <conditionalFormatting sqref="Q1433">
    <cfRule type="duplicateValues" dxfId="121" priority="23"/>
  </conditionalFormatting>
  <conditionalFormatting sqref="Q1452">
    <cfRule type="duplicateValues" dxfId="120" priority="139"/>
  </conditionalFormatting>
  <conditionalFormatting sqref="Q1453:Q1454">
    <cfRule type="duplicateValues" dxfId="119" priority="176"/>
  </conditionalFormatting>
  <conditionalFormatting sqref="Q1455:Q1463 Q1466:Q1468">
    <cfRule type="duplicateValues" dxfId="118" priority="100"/>
  </conditionalFormatting>
  <conditionalFormatting sqref="Q1488:Q1489">
    <cfRule type="duplicateValues" dxfId="117" priority="175"/>
  </conditionalFormatting>
  <conditionalFormatting sqref="Q1496:Q1497">
    <cfRule type="duplicateValues" dxfId="116" priority="250"/>
  </conditionalFormatting>
  <conditionalFormatting sqref="Q1498:Q1499">
    <cfRule type="duplicateValues" dxfId="115" priority="174"/>
  </conditionalFormatting>
  <conditionalFormatting sqref="Q1507:Q1508">
    <cfRule type="duplicateValues" dxfId="114" priority="222"/>
  </conditionalFormatting>
  <conditionalFormatting sqref="Q1512 Q1517">
    <cfRule type="duplicateValues" dxfId="113" priority="1080"/>
  </conditionalFormatting>
  <conditionalFormatting sqref="Q1513">
    <cfRule type="duplicateValues" dxfId="112" priority="34"/>
  </conditionalFormatting>
  <conditionalFormatting sqref="Q1611:Q1612">
    <cfRule type="duplicateValues" dxfId="111" priority="173"/>
  </conditionalFormatting>
  <conditionalFormatting sqref="Q1643:Q1644">
    <cfRule type="duplicateValues" dxfId="110" priority="138"/>
  </conditionalFormatting>
  <conditionalFormatting sqref="Q1648:Q1649">
    <cfRule type="duplicateValues" dxfId="109" priority="171"/>
  </conditionalFormatting>
  <conditionalFormatting sqref="Q1653:Q1654">
    <cfRule type="duplicateValues" dxfId="108" priority="172"/>
  </conditionalFormatting>
  <conditionalFormatting sqref="Q1658:Q1659">
    <cfRule type="duplicateValues" dxfId="107" priority="170"/>
  </conditionalFormatting>
  <conditionalFormatting sqref="Q1665:Q1666">
    <cfRule type="duplicateValues" dxfId="106" priority="169"/>
  </conditionalFormatting>
  <conditionalFormatting sqref="Q1675">
    <cfRule type="duplicateValues" dxfId="105" priority="303"/>
  </conditionalFormatting>
  <conditionalFormatting sqref="Q1680:Q1681">
    <cfRule type="duplicateValues" dxfId="104" priority="220"/>
  </conditionalFormatting>
  <conditionalFormatting sqref="Q1682">
    <cfRule type="duplicateValues" dxfId="103" priority="1152"/>
  </conditionalFormatting>
  <conditionalFormatting sqref="Q1755:Q1756 Q1753">
    <cfRule type="duplicateValues" dxfId="102" priority="1156"/>
  </conditionalFormatting>
  <conditionalFormatting sqref="Q1760">
    <cfRule type="duplicateValues" dxfId="101" priority="1160"/>
  </conditionalFormatting>
  <conditionalFormatting sqref="Q1770:Q1771">
    <cfRule type="duplicateValues" dxfId="100" priority="167"/>
  </conditionalFormatting>
  <conditionalFormatting sqref="Q1775">
    <cfRule type="duplicateValues" dxfId="99" priority="1164"/>
  </conditionalFormatting>
  <conditionalFormatting sqref="Q1780:Q1781">
    <cfRule type="duplicateValues" dxfId="98" priority="252"/>
  </conditionalFormatting>
  <conditionalFormatting sqref="Q1784:Q1785">
    <cfRule type="duplicateValues" dxfId="97" priority="105"/>
  </conditionalFormatting>
  <conditionalFormatting sqref="Q1787:Q1788">
    <cfRule type="duplicateValues" dxfId="96" priority="218"/>
  </conditionalFormatting>
  <conditionalFormatting sqref="Q1917:Q1919">
    <cfRule type="duplicateValues" dxfId="95" priority="216"/>
  </conditionalFormatting>
  <conditionalFormatting sqref="Q2028 Q2030">
    <cfRule type="duplicateValues" dxfId="94" priority="215"/>
  </conditionalFormatting>
  <conditionalFormatting sqref="Q2039:Q2040">
    <cfRule type="duplicateValues" dxfId="93" priority="214"/>
  </conditionalFormatting>
  <conditionalFormatting sqref="Q2220:Q2221">
    <cfRule type="duplicateValues" dxfId="92" priority="213"/>
  </conditionalFormatting>
  <conditionalFormatting sqref="Q2227:Q2228">
    <cfRule type="duplicateValues" dxfId="91" priority="212"/>
  </conditionalFormatting>
  <conditionalFormatting sqref="Q2231:Q2232">
    <cfRule type="duplicateValues" dxfId="90" priority="1196"/>
  </conditionalFormatting>
  <conditionalFormatting sqref="Q2233:Q2234">
    <cfRule type="duplicateValues" dxfId="89" priority="1228"/>
  </conditionalFormatting>
  <conditionalFormatting sqref="Q2235:Q2240">
    <cfRule type="duplicateValues" dxfId="88" priority="1096"/>
  </conditionalFormatting>
  <conditionalFormatting sqref="Q2242">
    <cfRule type="duplicateValues" dxfId="87" priority="92"/>
  </conditionalFormatting>
  <conditionalFormatting sqref="Q2243 Q2254 Q2256:Q2258">
    <cfRule type="duplicateValues" dxfId="86" priority="291"/>
  </conditionalFormatting>
  <conditionalFormatting sqref="Q2244:Q2246 Q2248:Q2253">
    <cfRule type="duplicateValues" dxfId="85" priority="336"/>
  </conditionalFormatting>
  <conditionalFormatting sqref="Q2260:Q2262">
    <cfRule type="duplicateValues" dxfId="84" priority="65"/>
  </conditionalFormatting>
  <conditionalFormatting sqref="Q2264:Q2266">
    <cfRule type="duplicateValues" dxfId="83" priority="64"/>
  </conditionalFormatting>
  <conditionalFormatting sqref="Q2268:Q2271 Q2274:Q2279">
    <cfRule type="duplicateValues" dxfId="82" priority="585"/>
  </conditionalFormatting>
  <conditionalFormatting sqref="Q2280">
    <cfRule type="duplicateValues" dxfId="81" priority="63"/>
  </conditionalFormatting>
  <conditionalFormatting sqref="Q2284">
    <cfRule type="duplicateValues" dxfId="80" priority="62"/>
  </conditionalFormatting>
  <conditionalFormatting sqref="Q2285:Q2286">
    <cfRule type="duplicateValues" dxfId="79" priority="209"/>
  </conditionalFormatting>
  <conditionalFormatting sqref="Q2302:Q2303">
    <cfRule type="duplicateValues" dxfId="78" priority="253"/>
  </conditionalFormatting>
  <conditionalFormatting sqref="Q2311">
    <cfRule type="duplicateValues" dxfId="77" priority="61"/>
  </conditionalFormatting>
  <conditionalFormatting sqref="Q2371">
    <cfRule type="duplicateValues" dxfId="76" priority="5"/>
  </conditionalFormatting>
  <conditionalFormatting sqref="Q2383:Q2385 Q2387">
    <cfRule type="duplicateValues" dxfId="75" priority="244"/>
  </conditionalFormatting>
  <conditionalFormatting sqref="Q2386">
    <cfRule type="duplicateValues" dxfId="74" priority="4"/>
  </conditionalFormatting>
  <conditionalFormatting sqref="Q2390:Q2391">
    <cfRule type="duplicateValues" dxfId="73" priority="255"/>
  </conditionalFormatting>
  <conditionalFormatting sqref="Q2399">
    <cfRule type="duplicateValues" dxfId="72" priority="3"/>
  </conditionalFormatting>
  <conditionalFormatting sqref="Q2411">
    <cfRule type="duplicateValues" dxfId="71" priority="1118"/>
  </conditionalFormatting>
  <conditionalFormatting sqref="Q2445:Q2446">
    <cfRule type="duplicateValues" dxfId="70" priority="163"/>
  </conditionalFormatting>
  <conditionalFormatting sqref="Q2537:Q2538">
    <cfRule type="duplicateValues" dxfId="69" priority="161"/>
  </conditionalFormatting>
  <conditionalFormatting sqref="Q2542:Q2543">
    <cfRule type="duplicateValues" dxfId="68" priority="158"/>
  </conditionalFormatting>
  <conditionalFormatting sqref="Q2547:Q2548">
    <cfRule type="duplicateValues" dxfId="67" priority="157"/>
  </conditionalFormatting>
  <conditionalFormatting sqref="Q2552:Q2553">
    <cfRule type="duplicateValues" dxfId="66" priority="160"/>
  </conditionalFormatting>
  <conditionalFormatting sqref="Q2557 Q2559">
    <cfRule type="duplicateValues" dxfId="65" priority="159"/>
  </conditionalFormatting>
  <conditionalFormatting sqref="Q2570:Q2572">
    <cfRule type="duplicateValues" dxfId="64" priority="98"/>
  </conditionalFormatting>
  <conditionalFormatting sqref="Q2576:Q2577">
    <cfRule type="duplicateValues" dxfId="63" priority="99"/>
  </conditionalFormatting>
  <conditionalFormatting sqref="Q2581">
    <cfRule type="duplicateValues" dxfId="62" priority="208"/>
  </conditionalFormatting>
  <conditionalFormatting sqref="Q2585:Q2586">
    <cfRule type="duplicateValues" dxfId="61" priority="241"/>
  </conditionalFormatting>
  <conditionalFormatting sqref="Q2590:Q2591 Q2593">
    <cfRule type="duplicateValues" dxfId="60" priority="240"/>
  </conditionalFormatting>
  <conditionalFormatting sqref="Q2599:Q2600">
    <cfRule type="duplicateValues" dxfId="59" priority="207"/>
  </conditionalFormatting>
  <conditionalFormatting sqref="Q2688:Q2689">
    <cfRule type="duplicateValues" dxfId="58" priority="366"/>
  </conditionalFormatting>
  <conditionalFormatting sqref="Q2694">
    <cfRule type="duplicateValues" dxfId="57" priority="359"/>
  </conditionalFormatting>
  <conditionalFormatting sqref="Q2698:Q2699">
    <cfRule type="duplicateValues" dxfId="56" priority="154"/>
  </conditionalFormatting>
  <conditionalFormatting sqref="Q2703:Q2704">
    <cfRule type="duplicateValues" dxfId="55" priority="153"/>
  </conditionalFormatting>
  <conditionalFormatting sqref="Q2732:Q2733">
    <cfRule type="duplicateValues" dxfId="54" priority="152"/>
  </conditionalFormatting>
  <conditionalFormatting sqref="Q2738 Q2740">
    <cfRule type="duplicateValues" dxfId="53" priority="151"/>
  </conditionalFormatting>
  <conditionalFormatting sqref="Q2809:Q2810">
    <cfRule type="duplicateValues" dxfId="52" priority="150"/>
  </conditionalFormatting>
  <conditionalFormatting sqref="Q2815:Q2816">
    <cfRule type="duplicateValues" dxfId="51" priority="149"/>
  </conditionalFormatting>
  <conditionalFormatting sqref="Q2849:Q2850">
    <cfRule type="duplicateValues" dxfId="50" priority="611"/>
  </conditionalFormatting>
  <conditionalFormatting sqref="Q2876:Q2878">
    <cfRule type="duplicateValues" dxfId="49" priority="21"/>
  </conditionalFormatting>
  <conditionalFormatting sqref="Q2879">
    <cfRule type="duplicateValues" dxfId="48" priority="20"/>
  </conditionalFormatting>
  <conditionalFormatting sqref="Q3085">
    <cfRule type="duplicateValues" dxfId="47" priority="1238"/>
  </conditionalFormatting>
  <conditionalFormatting sqref="Q3121:Q3122">
    <cfRule type="duplicateValues" dxfId="46" priority="131"/>
  </conditionalFormatting>
  <conditionalFormatting sqref="Q3140 Q3142 Q3144">
    <cfRule type="duplicateValues" dxfId="45" priority="104"/>
  </conditionalFormatting>
  <conditionalFormatting sqref="Q3187">
    <cfRule type="duplicateValues" dxfId="44" priority="1180"/>
  </conditionalFormatting>
  <conditionalFormatting sqref="Q3284:Q3285">
    <cfRule type="duplicateValues" dxfId="43" priority="130"/>
  </conditionalFormatting>
  <conditionalFormatting sqref="Q3330:Q3331">
    <cfRule type="duplicateValues" dxfId="42" priority="205"/>
  </conditionalFormatting>
  <conditionalFormatting sqref="Q3368">
    <cfRule type="duplicateValues" dxfId="41" priority="1243"/>
  </conditionalFormatting>
  <conditionalFormatting sqref="Q3399:Q3400">
    <cfRule type="duplicateValues" dxfId="40" priority="203"/>
  </conditionalFormatting>
  <conditionalFormatting sqref="Q3578:Q3586">
    <cfRule type="duplicateValues" dxfId="39" priority="1248"/>
  </conditionalFormatting>
  <conditionalFormatting sqref="Q3595:Q3597">
    <cfRule type="duplicateValues" dxfId="38" priority="202"/>
  </conditionalFormatting>
  <conditionalFormatting sqref="Q3643:Q3644 Q3606:Q3607">
    <cfRule type="duplicateValues" dxfId="37" priority="266"/>
  </conditionalFormatting>
  <conditionalFormatting sqref="Q3648:Q3649">
    <cfRule type="duplicateValues" dxfId="36" priority="1111"/>
  </conditionalFormatting>
  <conditionalFormatting sqref="Q3689">
    <cfRule type="duplicateValues" dxfId="35" priority="33"/>
  </conditionalFormatting>
  <conditionalFormatting sqref="Q3690">
    <cfRule type="duplicateValues" dxfId="34" priority="31"/>
  </conditionalFormatting>
  <conditionalFormatting sqref="Q3691">
    <cfRule type="duplicateValues" dxfId="33" priority="30"/>
  </conditionalFormatting>
  <conditionalFormatting sqref="Q3692:Q3694 P3680 P3682:P3685 Q3682:Q3683 Q3686:Q3688">
    <cfRule type="duplicateValues" dxfId="32" priority="1126"/>
  </conditionalFormatting>
  <conditionalFormatting sqref="Q3695:Q3696 Q3655:Q3656">
    <cfRule type="duplicateValues" dxfId="31" priority="246"/>
  </conditionalFormatting>
  <conditionalFormatting sqref="Q3700">
    <cfRule type="duplicateValues" dxfId="30" priority="135"/>
  </conditionalFormatting>
  <conditionalFormatting sqref="Q3723:Q3724">
    <cfRule type="duplicateValues" dxfId="29" priority="60"/>
  </conditionalFormatting>
  <conditionalFormatting sqref="Q3748:Q3767 Q3699 Q3701">
    <cfRule type="duplicateValues" dxfId="28" priority="295"/>
  </conditionalFormatting>
  <conditionalFormatting sqref="Q3866:Q3867 Q3776">
    <cfRule type="duplicateValues" dxfId="27" priority="1127"/>
  </conditionalFormatting>
  <conditionalFormatting sqref="Q3888">
    <cfRule type="duplicateValues" dxfId="26" priority="2"/>
  </conditionalFormatting>
  <conditionalFormatting sqref="Q3979:Q3980 Q3871:Q3872">
    <cfRule type="duplicateValues" dxfId="25" priority="1146"/>
  </conditionalFormatting>
  <conditionalFormatting sqref="Q3993:Q3994 Q3984:Q3987 Q3989">
    <cfRule type="duplicateValues" dxfId="24" priority="198"/>
  </conditionalFormatting>
  <conditionalFormatting sqref="Q3997">
    <cfRule type="duplicateValues" dxfId="23" priority="1148"/>
  </conditionalFormatting>
  <conditionalFormatting sqref="Q4026">
    <cfRule type="duplicateValues" dxfId="22" priority="679"/>
  </conditionalFormatting>
  <conditionalFormatting sqref="Q4029:Q4030">
    <cfRule type="duplicateValues" dxfId="21" priority="101"/>
  </conditionalFormatting>
  <conditionalFormatting sqref="Q4032:Q4034 Q4024:Q4025">
    <cfRule type="duplicateValues" dxfId="20" priority="111"/>
  </conditionalFormatting>
  <conditionalFormatting sqref="Q4036">
    <cfRule type="duplicateValues" dxfId="19" priority="70"/>
  </conditionalFormatting>
  <conditionalFormatting sqref="Q4041:Q4042">
    <cfRule type="duplicateValues" dxfId="18" priority="110"/>
  </conditionalFormatting>
  <conditionalFormatting sqref="Q4046 Q3996">
    <cfRule type="duplicateValues" dxfId="17" priority="1181"/>
  </conditionalFormatting>
  <conditionalFormatting sqref="Q4049 Q4051">
    <cfRule type="duplicateValues" dxfId="16" priority="259"/>
  </conditionalFormatting>
  <conditionalFormatting sqref="Q4122">
    <cfRule type="duplicateValues" dxfId="15" priority="19"/>
  </conditionalFormatting>
  <conditionalFormatting sqref="Q4174:Q4175">
    <cfRule type="duplicateValues" dxfId="14" priority="147"/>
  </conditionalFormatting>
  <conditionalFormatting sqref="Q4204:Q4206">
    <cfRule type="duplicateValues" dxfId="13" priority="1129"/>
  </conditionalFormatting>
  <conditionalFormatting sqref="Q4405">
    <cfRule type="duplicateValues" dxfId="12" priority="1"/>
  </conditionalFormatting>
  <conditionalFormatting sqref="S96:S97">
    <cfRule type="duplicateValues" dxfId="11" priority="500"/>
  </conditionalFormatting>
  <conditionalFormatting sqref="S105">
    <cfRule type="duplicateValues" dxfId="10" priority="26"/>
  </conditionalFormatting>
  <conditionalFormatting sqref="S131">
    <cfRule type="duplicateValues" dxfId="9" priority="79"/>
  </conditionalFormatting>
  <conditionalFormatting sqref="S134:S135">
    <cfRule type="duplicateValues" dxfId="8" priority="86"/>
  </conditionalFormatting>
  <conditionalFormatting sqref="S164">
    <cfRule type="duplicateValues" dxfId="7" priority="393"/>
  </conditionalFormatting>
  <conditionalFormatting sqref="S170">
    <cfRule type="duplicateValues" dxfId="6" priority="124"/>
  </conditionalFormatting>
  <conditionalFormatting sqref="S184">
    <cfRule type="duplicateValues" dxfId="5" priority="73"/>
  </conditionalFormatting>
  <conditionalFormatting sqref="S187">
    <cfRule type="duplicateValues" dxfId="4" priority="122"/>
  </conditionalFormatting>
  <conditionalFormatting sqref="S2247">
    <cfRule type="duplicateValues" dxfId="3" priority="90"/>
  </conditionalFormatting>
  <conditionalFormatting sqref="S2272:S2273">
    <cfRule type="duplicateValues" dxfId="2" priority="114"/>
  </conditionalFormatting>
  <conditionalFormatting sqref="AE167">
    <cfRule type="duplicateValues" dxfId="1" priority="75"/>
  </conditionalFormatting>
  <pageMargins left="0.5" right="0.5" top="0.55000000000000004" bottom="0.5" header="0.05" footer="0.3"/>
  <pageSetup fitToHeight="0" orientation="landscape" r:id="rId1"/>
  <headerFooter differentFirst="1">
    <oddFooter>&amp;C&amp;P</oddFooter>
  </headerFooter>
  <rowBreaks count="16" manualBreakCount="16">
    <brk id="327" max="16383" man="1"/>
    <brk id="424" max="16383" man="1"/>
    <brk id="622" max="16383" man="1"/>
    <brk id="842" max="16383" man="1"/>
    <brk id="1871" max="16383" man="1"/>
    <brk id="2758" max="16383" man="1"/>
    <brk id="2808" max="16383" man="1"/>
    <brk id="2955" max="16383" man="1"/>
    <brk id="3016" max="16383" man="1"/>
    <brk id="3338" max="16383" man="1"/>
    <brk id="3422" max="16383" man="1"/>
    <brk id="3564" max="16383" man="1"/>
    <brk id="3670" max="16383" man="1"/>
    <brk id="4065" max="16383" man="1"/>
    <brk id="4181" max="16383" man="1"/>
    <brk id="4233" max="16383" man="1"/>
  </rowBreaks>
  <ignoredErrors>
    <ignoredError sqref="K1934 I4351 K1654 K1807" formula="1"/>
    <ignoredError sqref="A2618:A2619 A3079" twoDigitTextYear="1"/>
  </ignoredErrors>
  <drawing r:id="rId2"/>
  <legacyDrawing r:id="rId3"/>
  <oleObjects>
    <mc:AlternateContent xmlns:mc="http://schemas.openxmlformats.org/markup-compatibility/2006">
      <mc:Choice Requires="x14">
        <oleObject progId="Acrobat Document" dvAspect="DVASPECT_ICON" shapeId="3073" r:id="rId4">
          <objectPr defaultSize="0" autoPict="0" altText="FAC 1511 Study" r:id="rId5">
            <anchor moveWithCells="1">
              <from>
                <xdr:col>0</xdr:col>
                <xdr:colOff>279400</xdr:colOff>
                <xdr:row>723</xdr:row>
                <xdr:rowOff>330200</xdr:rowOff>
              </from>
              <to>
                <xdr:col>1</xdr:col>
                <xdr:colOff>0</xdr:colOff>
                <xdr:row>726</xdr:row>
                <xdr:rowOff>0</xdr:rowOff>
              </to>
            </anchor>
          </objectPr>
        </oleObject>
      </mc:Choice>
      <mc:Fallback>
        <oleObject progId="Acrobat Document" dvAspect="DVASPECT_ICON" shapeId="3073" r:id="rId4"/>
      </mc:Fallback>
    </mc:AlternateContent>
    <mc:AlternateContent xmlns:mc="http://schemas.openxmlformats.org/markup-compatibility/2006">
      <mc:Choice Requires="x14">
        <oleObject progId="Acrobat Document" dvAspect="DVASPECT_ICON" shapeId="3080" r:id="rId6">
          <objectPr defaultSize="0" altText="FAC 2131 RUC _FY2011 CNIC Study" r:id="rId7">
            <anchor moveWithCells="1">
              <from>
                <xdr:col>0</xdr:col>
                <xdr:colOff>215900</xdr:colOff>
                <xdr:row>1683</xdr:row>
                <xdr:rowOff>444500</xdr:rowOff>
              </from>
              <to>
                <xdr:col>1</xdr:col>
                <xdr:colOff>0</xdr:colOff>
                <xdr:row>1685</xdr:row>
                <xdr:rowOff>342900</xdr:rowOff>
              </to>
            </anchor>
          </objectPr>
        </oleObject>
      </mc:Choice>
      <mc:Fallback>
        <oleObject progId="Acrobat Document" dvAspect="DVASPECT_ICON" shapeId="308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A0F1-4A58-4C9E-AA8E-5D79C7FC1B5B}">
  <sheetPr codeName="Sheet3">
    <pageSetUpPr fitToPage="1"/>
  </sheetPr>
  <dimension ref="A1:S32"/>
  <sheetViews>
    <sheetView topLeftCell="A10" zoomScale="85" zoomScaleNormal="85" workbookViewId="0">
      <selection activeCell="F21" sqref="F21"/>
    </sheetView>
  </sheetViews>
  <sheetFormatPr defaultColWidth="9.1796875" defaultRowHeight="14.5" x14ac:dyDescent="0.35"/>
  <cols>
    <col min="1" max="1" width="30.26953125" style="9" customWidth="1"/>
    <col min="2" max="2" width="12" style="9" customWidth="1"/>
    <col min="3" max="3" width="11.36328125" style="9" customWidth="1"/>
    <col min="4" max="4" width="16.54296875" style="9" customWidth="1"/>
    <col min="5" max="5" width="15.36328125" style="9" customWidth="1"/>
    <col min="6" max="6" width="23.54296875" style="9" customWidth="1"/>
    <col min="7" max="7" width="19.81640625" style="9" customWidth="1"/>
    <col min="8" max="8" width="14" style="9" customWidth="1"/>
    <col min="9" max="9" width="15.36328125" style="9" customWidth="1"/>
    <col min="10" max="10" width="16.1796875" style="9" customWidth="1"/>
    <col min="11" max="16384" width="9.1796875" style="9"/>
  </cols>
  <sheetData>
    <row r="1" spans="1:19" ht="30" customHeight="1" x14ac:dyDescent="0.35">
      <c r="A1" s="1808" t="s">
        <v>1965</v>
      </c>
      <c r="B1" s="1809"/>
      <c r="C1" s="1809"/>
      <c r="D1" s="1809"/>
      <c r="E1" s="1809"/>
      <c r="F1" s="1810"/>
      <c r="M1" s="5"/>
      <c r="O1" s="34"/>
      <c r="P1" s="5"/>
      <c r="S1" s="35"/>
    </row>
    <row r="2" spans="1:19" ht="109.5" customHeight="1" x14ac:dyDescent="0.35">
      <c r="A2" s="1811" t="s">
        <v>2541</v>
      </c>
      <c r="B2" s="1690"/>
      <c r="C2" s="1690"/>
      <c r="D2" s="1690"/>
      <c r="E2" s="1690"/>
      <c r="F2" s="1812"/>
      <c r="G2" s="48"/>
      <c r="H2" s="36"/>
      <c r="I2" s="36"/>
      <c r="J2" s="36"/>
      <c r="K2" s="15"/>
      <c r="M2" s="5"/>
      <c r="O2" s="34"/>
      <c r="P2" s="5"/>
      <c r="S2" s="35"/>
    </row>
    <row r="3" spans="1:19" ht="59.5" customHeight="1" x14ac:dyDescent="0.45">
      <c r="A3" s="246" t="s">
        <v>1966</v>
      </c>
      <c r="B3" s="185" t="s">
        <v>1967</v>
      </c>
      <c r="C3" s="185" t="s">
        <v>1968</v>
      </c>
      <c r="D3" s="229" t="s">
        <v>1969</v>
      </c>
      <c r="E3" s="118" t="s">
        <v>1970</v>
      </c>
      <c r="F3" s="247" t="s">
        <v>2857</v>
      </c>
      <c r="G3" s="295"/>
      <c r="H3" s="37"/>
      <c r="I3" s="8"/>
      <c r="J3" s="5"/>
      <c r="L3" s="5"/>
      <c r="N3" s="34"/>
      <c r="O3" s="5"/>
      <c r="R3" s="35"/>
    </row>
    <row r="4" spans="1:19" ht="30" customHeight="1" x14ac:dyDescent="0.35">
      <c r="A4" s="248"/>
      <c r="B4" s="230">
        <v>39356</v>
      </c>
      <c r="C4" s="188">
        <v>2008</v>
      </c>
      <c r="D4" s="290">
        <v>100</v>
      </c>
      <c r="E4" s="294"/>
      <c r="F4" s="293">
        <f>$D$20/D4</f>
        <v>1.7282</v>
      </c>
      <c r="G4" s="288"/>
      <c r="H4" s="16"/>
      <c r="I4" s="8"/>
      <c r="J4" s="5"/>
      <c r="L4" s="5"/>
      <c r="N4" s="34"/>
      <c r="O4" s="5"/>
      <c r="R4" s="35"/>
    </row>
    <row r="5" spans="1:19" ht="30" customHeight="1" x14ac:dyDescent="0.35">
      <c r="A5" s="248"/>
      <c r="B5" s="230">
        <v>39722</v>
      </c>
      <c r="C5" s="188">
        <v>2009</v>
      </c>
      <c r="D5" s="290">
        <v>104.36687965350772</v>
      </c>
      <c r="E5" s="172"/>
      <c r="F5" s="293">
        <f t="shared" ref="F5:F19" si="0">$D$20/D5</f>
        <v>1.6558893067777138</v>
      </c>
      <c r="G5" s="288"/>
      <c r="H5" s="37"/>
      <c r="I5" s="8"/>
      <c r="J5" s="5"/>
      <c r="L5" s="5"/>
      <c r="N5" s="34"/>
      <c r="O5" s="5"/>
      <c r="R5" s="35"/>
    </row>
    <row r="6" spans="1:19" ht="30" customHeight="1" x14ac:dyDescent="0.35">
      <c r="A6" s="248"/>
      <c r="B6" s="230">
        <v>40087</v>
      </c>
      <c r="C6" s="188">
        <v>2010</v>
      </c>
      <c r="D6" s="290">
        <v>96.617868698058075</v>
      </c>
      <c r="E6" s="172"/>
      <c r="F6" s="293">
        <f t="shared" si="0"/>
        <v>1.7886960489687711</v>
      </c>
      <c r="G6" s="288"/>
      <c r="H6" s="37"/>
      <c r="I6" s="8"/>
      <c r="J6" s="5"/>
      <c r="L6" s="5"/>
      <c r="N6" s="34"/>
      <c r="O6" s="5"/>
      <c r="R6" s="35"/>
    </row>
    <row r="7" spans="1:19" ht="30" customHeight="1" x14ac:dyDescent="0.35">
      <c r="A7" s="248"/>
      <c r="B7" s="230">
        <v>40452</v>
      </c>
      <c r="C7" s="188">
        <v>2011</v>
      </c>
      <c r="D7" s="290">
        <v>96.536202508912254</v>
      </c>
      <c r="E7" s="172"/>
      <c r="F7" s="293">
        <f t="shared" si="0"/>
        <v>1.7902092221210504</v>
      </c>
      <c r="G7" s="288"/>
      <c r="H7" s="37"/>
      <c r="I7" s="8"/>
      <c r="J7" s="5"/>
      <c r="L7" s="5"/>
      <c r="N7" s="34"/>
      <c r="O7" s="5"/>
      <c r="R7" s="35"/>
    </row>
    <row r="8" spans="1:19" ht="30" customHeight="1" x14ac:dyDescent="0.35">
      <c r="A8" s="249"/>
      <c r="B8" s="230">
        <v>40817</v>
      </c>
      <c r="C8" s="186">
        <v>2012</v>
      </c>
      <c r="D8" s="291">
        <v>98.94055747581173</v>
      </c>
      <c r="E8" s="173"/>
      <c r="F8" s="293">
        <f t="shared" si="0"/>
        <v>1.7467053391350638</v>
      </c>
      <c r="G8" s="289"/>
      <c r="H8" s="38"/>
      <c r="M8" s="14"/>
    </row>
    <row r="9" spans="1:19" ht="30" customHeight="1" x14ac:dyDescent="0.35">
      <c r="A9" s="249"/>
      <c r="B9" s="230">
        <v>41183</v>
      </c>
      <c r="C9" s="186">
        <v>2013</v>
      </c>
      <c r="D9" s="291">
        <v>100.79382698088115</v>
      </c>
      <c r="E9" s="173"/>
      <c r="F9" s="293">
        <f t="shared" si="0"/>
        <v>1.7145891288836663</v>
      </c>
      <c r="G9" s="289"/>
      <c r="H9" s="38"/>
      <c r="M9" s="14"/>
    </row>
    <row r="10" spans="1:19" ht="30" customHeight="1" x14ac:dyDescent="0.35">
      <c r="A10" s="249"/>
      <c r="B10" s="230">
        <v>41548</v>
      </c>
      <c r="C10" s="186">
        <v>2014</v>
      </c>
      <c r="D10" s="291">
        <v>104.48176215518485</v>
      </c>
      <c r="E10" s="173"/>
      <c r="F10" s="293">
        <f t="shared" si="0"/>
        <v>1.6540685803452817</v>
      </c>
      <c r="G10" s="289"/>
      <c r="H10" s="38"/>
      <c r="M10" s="14"/>
    </row>
    <row r="11" spans="1:19" ht="30" customHeight="1" x14ac:dyDescent="0.45">
      <c r="A11" s="249"/>
      <c r="B11" s="230">
        <v>41913</v>
      </c>
      <c r="C11" s="186">
        <v>2015</v>
      </c>
      <c r="D11" s="291">
        <v>108.68748981038418</v>
      </c>
      <c r="E11" s="173"/>
      <c r="F11" s="293">
        <f t="shared" si="0"/>
        <v>1.5900634038149299</v>
      </c>
      <c r="G11" s="296"/>
      <c r="H11" s="38"/>
      <c r="M11" s="14"/>
    </row>
    <row r="12" spans="1:19" ht="30" customHeight="1" x14ac:dyDescent="0.45">
      <c r="A12" s="249"/>
      <c r="B12" s="230">
        <v>42278</v>
      </c>
      <c r="C12" s="186">
        <v>2016</v>
      </c>
      <c r="D12" s="291">
        <v>113.08118566321927</v>
      </c>
      <c r="E12" s="173"/>
      <c r="F12" s="293">
        <f t="shared" si="0"/>
        <v>1.5282825253945966</v>
      </c>
      <c r="G12" s="296"/>
      <c r="H12" s="38"/>
      <c r="M12" s="14"/>
    </row>
    <row r="13" spans="1:19" ht="30" customHeight="1" x14ac:dyDescent="0.45">
      <c r="A13" s="249"/>
      <c r="B13" s="230">
        <v>42644</v>
      </c>
      <c r="C13" s="186">
        <v>2017</v>
      </c>
      <c r="D13" s="291">
        <v>117.49476449153478</v>
      </c>
      <c r="E13" s="174"/>
      <c r="F13" s="293">
        <f t="shared" si="0"/>
        <v>1.4708740491364725</v>
      </c>
      <c r="G13" s="296"/>
      <c r="H13" s="38"/>
      <c r="M13" s="14"/>
    </row>
    <row r="14" spans="1:19" ht="30" customHeight="1" x14ac:dyDescent="0.45">
      <c r="A14" s="249"/>
      <c r="B14" s="230">
        <v>43009</v>
      </c>
      <c r="C14" s="186">
        <v>2018</v>
      </c>
      <c r="D14" s="291">
        <v>122.22543173834799</v>
      </c>
      <c r="E14" s="175"/>
      <c r="F14" s="293">
        <f t="shared" si="0"/>
        <v>1.4139446884504483</v>
      </c>
      <c r="G14" s="296"/>
      <c r="H14" s="38"/>
      <c r="I14" s="38"/>
      <c r="M14" s="14"/>
    </row>
    <row r="15" spans="1:19" ht="30" customHeight="1" x14ac:dyDescent="0.45">
      <c r="A15" s="249"/>
      <c r="B15" s="230">
        <v>43374</v>
      </c>
      <c r="C15" s="186">
        <v>2019</v>
      </c>
      <c r="D15" s="291">
        <v>128.94182119951699</v>
      </c>
      <c r="E15" s="175"/>
      <c r="F15" s="293">
        <f t="shared" si="0"/>
        <v>1.3402943931789864</v>
      </c>
      <c r="G15" s="296"/>
      <c r="H15" s="38"/>
      <c r="I15" s="38"/>
      <c r="M15" s="14"/>
    </row>
    <row r="16" spans="1:19" ht="30" customHeight="1" x14ac:dyDescent="0.45">
      <c r="A16" s="249"/>
      <c r="B16" s="231">
        <v>43739</v>
      </c>
      <c r="C16" s="186">
        <v>2020</v>
      </c>
      <c r="D16" s="292">
        <v>134.83448125817947</v>
      </c>
      <c r="E16" s="175"/>
      <c r="F16" s="293">
        <f t="shared" si="0"/>
        <v>1.2817196193982925</v>
      </c>
      <c r="G16" s="296"/>
      <c r="H16" s="38"/>
      <c r="I16" s="38"/>
      <c r="K16" s="14"/>
    </row>
    <row r="17" spans="1:14" ht="30" customHeight="1" x14ac:dyDescent="0.45">
      <c r="A17" s="250"/>
      <c r="B17" s="231">
        <v>44105</v>
      </c>
      <c r="C17" s="127">
        <v>2021</v>
      </c>
      <c r="D17" s="291">
        <v>136.2290415488477</v>
      </c>
      <c r="E17" s="175"/>
      <c r="F17" s="293">
        <f t="shared" si="0"/>
        <v>1.2685988100270957</v>
      </c>
      <c r="G17" s="296"/>
      <c r="N17" s="14"/>
    </row>
    <row r="18" spans="1:14" ht="30" customHeight="1" x14ac:dyDescent="0.45">
      <c r="A18" s="158"/>
      <c r="B18" s="159">
        <v>44470</v>
      </c>
      <c r="C18" s="176">
        <v>2022</v>
      </c>
      <c r="D18" s="291">
        <v>147.63153588617521</v>
      </c>
      <c r="E18" s="175"/>
      <c r="F18" s="293">
        <f t="shared" si="0"/>
        <v>1.1706170972389343</v>
      </c>
      <c r="G18" s="296"/>
      <c r="N18" s="14"/>
    </row>
    <row r="19" spans="1:14" ht="30" customHeight="1" x14ac:dyDescent="0.35">
      <c r="A19" s="158"/>
      <c r="B19" s="159">
        <v>44835</v>
      </c>
      <c r="C19" s="176">
        <v>2023</v>
      </c>
      <c r="D19" s="291">
        <v>165.55629516459143</v>
      </c>
      <c r="E19" s="101"/>
      <c r="F19" s="293">
        <f t="shared" si="0"/>
        <v>1.0438745311870332</v>
      </c>
      <c r="N19" s="14"/>
    </row>
    <row r="20" spans="1:14" ht="30" customHeight="1" x14ac:dyDescent="0.35">
      <c r="A20" s="158"/>
      <c r="B20" s="159">
        <v>45200</v>
      </c>
      <c r="C20" s="176">
        <v>2024</v>
      </c>
      <c r="D20" s="350">
        <v>172.82</v>
      </c>
      <c r="E20" s="365">
        <v>1</v>
      </c>
      <c r="F20" s="293">
        <f>$D$20/D20</f>
        <v>1</v>
      </c>
      <c r="G20" s="38"/>
      <c r="N20" s="14"/>
    </row>
    <row r="21" spans="1:14" ht="30" customHeight="1" x14ac:dyDescent="0.35">
      <c r="A21" s="158"/>
      <c r="B21" s="159">
        <v>45566</v>
      </c>
      <c r="C21" s="127">
        <v>2025</v>
      </c>
      <c r="D21" s="173"/>
      <c r="E21" s="179">
        <v>1.022</v>
      </c>
      <c r="F21" s="251">
        <f>F20/E21</f>
        <v>0.97847358121330719</v>
      </c>
      <c r="G21" s="38"/>
      <c r="N21" s="14"/>
    </row>
    <row r="22" spans="1:14" ht="30" customHeight="1" x14ac:dyDescent="0.35">
      <c r="A22" s="158"/>
      <c r="B22" s="159">
        <v>45931</v>
      </c>
      <c r="C22" s="127">
        <v>2026</v>
      </c>
      <c r="D22" s="173"/>
      <c r="E22" s="179">
        <v>1.0209999999999999</v>
      </c>
      <c r="F22" s="251">
        <f>F21/E22</f>
        <v>0.95834826759383673</v>
      </c>
      <c r="G22" s="38"/>
      <c r="N22" s="14"/>
    </row>
    <row r="23" spans="1:14" ht="30" customHeight="1" x14ac:dyDescent="0.35">
      <c r="A23" s="158"/>
      <c r="B23" s="159">
        <v>46296</v>
      </c>
      <c r="C23" s="186">
        <v>2027</v>
      </c>
      <c r="D23" s="173"/>
      <c r="E23" s="179">
        <v>1.0209999999999999</v>
      </c>
      <c r="F23" s="251">
        <f>F22/E23</f>
        <v>0.93863689284411045</v>
      </c>
      <c r="H23" s="38"/>
      <c r="N23" s="14"/>
    </row>
    <row r="24" spans="1:14" ht="30" customHeight="1" x14ac:dyDescent="0.35">
      <c r="A24" s="250"/>
      <c r="B24" s="114"/>
      <c r="C24" s="5">
        <v>2028</v>
      </c>
      <c r="D24" s="173"/>
      <c r="E24" s="179">
        <v>1.0209999999999999</v>
      </c>
      <c r="F24" s="251">
        <f>F23/E24</f>
        <v>0.91933094304026497</v>
      </c>
      <c r="G24" s="38"/>
      <c r="N24" s="14"/>
    </row>
    <row r="25" spans="1:14" ht="30" customHeight="1" x14ac:dyDescent="0.35">
      <c r="A25" s="116"/>
      <c r="B25" s="117"/>
      <c r="C25" s="186">
        <v>2029</v>
      </c>
      <c r="D25" s="173"/>
      <c r="E25" s="179">
        <v>1.02</v>
      </c>
      <c r="F25" s="251">
        <f>F24/E25</f>
        <v>0.90130484611790684</v>
      </c>
      <c r="G25" s="38"/>
      <c r="N25" s="14"/>
    </row>
    <row r="26" spans="1:14" ht="12.75" customHeight="1" thickBot="1" x14ac:dyDescent="0.4">
      <c r="A26" s="39"/>
      <c r="B26" s="40"/>
      <c r="C26" s="41"/>
      <c r="D26" s="40"/>
      <c r="E26" s="42"/>
      <c r="F26" s="43"/>
      <c r="N26" s="14"/>
    </row>
    <row r="27" spans="1:14" ht="15" thickBot="1" x14ac:dyDescent="0.4">
      <c r="A27" s="1813" t="s">
        <v>2858</v>
      </c>
      <c r="B27" s="1814"/>
      <c r="C27" s="1814"/>
      <c r="D27" s="1814"/>
      <c r="E27" s="1814"/>
      <c r="F27" s="1815"/>
    </row>
    <row r="28" spans="1:14" ht="31.5" customHeight="1" thickBot="1" x14ac:dyDescent="0.4">
      <c r="A28" s="1805" t="s">
        <v>2466</v>
      </c>
      <c r="B28" s="1806"/>
      <c r="C28" s="1806"/>
      <c r="D28" s="1806"/>
      <c r="E28" s="1806"/>
      <c r="F28" s="1807"/>
      <c r="G28" s="49"/>
    </row>
    <row r="29" spans="1:14" ht="125.25" customHeight="1" thickBot="1" x14ac:dyDescent="0.4">
      <c r="A29" s="1805" t="s">
        <v>2467</v>
      </c>
      <c r="B29" s="1806"/>
      <c r="C29" s="1806"/>
      <c r="D29" s="1806"/>
      <c r="E29" s="1806"/>
      <c r="F29" s="1807"/>
      <c r="G29" s="49"/>
    </row>
    <row r="30" spans="1:14" ht="41.25" customHeight="1" thickBot="1" x14ac:dyDescent="0.4">
      <c r="A30" s="1805" t="s">
        <v>2859</v>
      </c>
      <c r="B30" s="1806"/>
      <c r="C30" s="1806"/>
      <c r="D30" s="1806"/>
      <c r="E30" s="1806"/>
      <c r="F30" s="1807"/>
      <c r="G30" s="49"/>
    </row>
    <row r="31" spans="1:14" ht="40.5" customHeight="1" thickBot="1" x14ac:dyDescent="0.4">
      <c r="A31" s="1805" t="s">
        <v>2468</v>
      </c>
      <c r="B31" s="1806"/>
      <c r="C31" s="1806"/>
      <c r="D31" s="1806"/>
      <c r="E31" s="1806"/>
      <c r="F31" s="1807"/>
      <c r="G31" s="49"/>
    </row>
    <row r="32" spans="1:14" ht="53.25" customHeight="1" thickBot="1" x14ac:dyDescent="0.4">
      <c r="A32" s="1805" t="s">
        <v>2469</v>
      </c>
      <c r="B32" s="1806"/>
      <c r="C32" s="1806"/>
      <c r="D32" s="1806"/>
      <c r="E32" s="1806"/>
      <c r="F32" s="1807"/>
      <c r="G32" s="49"/>
    </row>
  </sheetData>
  <mergeCells count="8">
    <mergeCell ref="A32:F32"/>
    <mergeCell ref="A31:F31"/>
    <mergeCell ref="A30:F30"/>
    <mergeCell ref="A1:F1"/>
    <mergeCell ref="A2:F2"/>
    <mergeCell ref="A27:F27"/>
    <mergeCell ref="A28:F28"/>
    <mergeCell ref="A29:F29"/>
  </mergeCells>
  <phoneticPr fontId="26" type="noConversion"/>
  <pageMargins left="0.7" right="0.7" top="0.75" bottom="0.75" header="0.3" footer="0.3"/>
  <pageSetup scale="62"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B219-CF74-4288-91ED-974592676DFE}">
  <sheetPr codeName="Sheet4">
    <tabColor theme="4" tint="0.79998168889431442"/>
    <pageSetUpPr fitToPage="1"/>
  </sheetPr>
  <dimension ref="A1:IM553"/>
  <sheetViews>
    <sheetView zoomScale="90" zoomScaleNormal="115" workbookViewId="0">
      <pane ySplit="3" topLeftCell="A16" activePane="bottomLeft" state="frozen"/>
      <selection activeCell="G11" sqref="G11"/>
      <selection pane="bottomLeft" activeCell="R31" sqref="R31"/>
    </sheetView>
  </sheetViews>
  <sheetFormatPr defaultColWidth="8.81640625" defaultRowHeight="14.5" x14ac:dyDescent="0.35"/>
  <cols>
    <col min="1" max="1" width="7.54296875" style="9" customWidth="1"/>
    <col min="2" max="2" width="54.36328125" style="9" customWidth="1"/>
    <col min="3" max="3" width="7.1796875" style="9" customWidth="1"/>
    <col min="4" max="4" width="7.81640625" style="9" customWidth="1"/>
    <col min="5" max="5" width="13.54296875" style="9" customWidth="1"/>
    <col min="6" max="6" width="11.81640625" style="9" customWidth="1"/>
    <col min="7" max="8" width="11.1796875" style="9" customWidth="1"/>
    <col min="9" max="9" width="9.81640625" style="9" customWidth="1"/>
    <col min="10" max="10" width="9.36328125" style="9" customWidth="1"/>
    <col min="11" max="11" width="10.36328125" style="9" customWidth="1"/>
    <col min="12" max="12" width="10" style="9" customWidth="1"/>
    <col min="13" max="13" width="9.81640625" style="9" customWidth="1"/>
    <col min="14" max="14" width="9.1796875" style="9" customWidth="1"/>
    <col min="15" max="15" width="14.81640625" style="9" customWidth="1"/>
    <col min="16" max="16" width="13.54296875" style="9" customWidth="1"/>
    <col min="17" max="17" width="12.81640625" style="9" customWidth="1"/>
    <col min="18" max="18" width="12.1796875" style="93" customWidth="1"/>
    <col min="19" max="44" width="8.81640625" style="9"/>
    <col min="45" max="45" width="8.81640625" style="94"/>
    <col min="46" max="227" width="8.81640625" style="9"/>
    <col min="228" max="228" width="5.81640625" style="9" customWidth="1"/>
    <col min="229" max="229" width="42.81640625" style="9" customWidth="1"/>
    <col min="230" max="230" width="3.36328125" style="9" customWidth="1"/>
    <col min="231" max="232" width="15.81640625" style="9" customWidth="1"/>
    <col min="233" max="233" width="6.54296875" style="9" customWidth="1"/>
    <col min="234" max="234" width="92" style="9" customWidth="1"/>
    <col min="235" max="16384" width="8.81640625" style="9"/>
  </cols>
  <sheetData>
    <row r="1" spans="1:247" ht="26.25" customHeight="1" thickBot="1" x14ac:dyDescent="0.5">
      <c r="A1" s="1816" t="s">
        <v>1971</v>
      </c>
      <c r="B1" s="1816"/>
      <c r="C1" s="1816"/>
      <c r="D1" s="1817"/>
      <c r="E1" s="1818" t="s">
        <v>1972</v>
      </c>
      <c r="F1" s="1819"/>
      <c r="G1" s="1820"/>
      <c r="H1" s="1821" t="s">
        <v>1973</v>
      </c>
      <c r="I1" s="1822"/>
      <c r="J1" s="1822"/>
      <c r="K1" s="1822"/>
      <c r="L1" s="1822"/>
      <c r="M1" s="1822"/>
      <c r="N1" s="1822"/>
      <c r="O1" s="82" t="s">
        <v>1974</v>
      </c>
      <c r="P1" s="1823" t="s">
        <v>1975</v>
      </c>
      <c r="Q1" s="1820"/>
      <c r="R1" s="83"/>
      <c r="AS1" s="9"/>
    </row>
    <row r="2" spans="1:247" ht="72.75" customHeight="1" x14ac:dyDescent="0.35">
      <c r="A2" s="1816"/>
      <c r="B2" s="1816"/>
      <c r="C2" s="1816"/>
      <c r="D2" s="1817"/>
      <c r="E2" s="126" t="s">
        <v>1976</v>
      </c>
      <c r="F2" s="185" t="s">
        <v>1977</v>
      </c>
      <c r="G2" s="247" t="s">
        <v>1978</v>
      </c>
      <c r="H2" s="125" t="s">
        <v>1979</v>
      </c>
      <c r="I2" s="185" t="s">
        <v>1980</v>
      </c>
      <c r="J2" s="185" t="s">
        <v>1981</v>
      </c>
      <c r="K2" s="185" t="s">
        <v>1982</v>
      </c>
      <c r="L2" s="185" t="s">
        <v>1983</v>
      </c>
      <c r="M2" s="185" t="s">
        <v>1984</v>
      </c>
      <c r="N2" s="124" t="s">
        <v>1985</v>
      </c>
      <c r="O2" s="84" t="s">
        <v>1986</v>
      </c>
      <c r="P2" s="125" t="s">
        <v>1987</v>
      </c>
      <c r="Q2" s="247" t="s">
        <v>1988</v>
      </c>
      <c r="R2" s="85" t="s">
        <v>1989</v>
      </c>
      <c r="S2" s="67"/>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row>
    <row r="3" spans="1:247" ht="48.75" customHeight="1" thickBot="1" x14ac:dyDescent="0.4">
      <c r="A3" s="69" t="s">
        <v>216</v>
      </c>
      <c r="B3" s="70" t="s">
        <v>1990</v>
      </c>
      <c r="C3" s="71" t="s">
        <v>9</v>
      </c>
      <c r="D3" s="86" t="s">
        <v>1991</v>
      </c>
      <c r="E3" s="232">
        <v>1.0740000000000001</v>
      </c>
      <c r="F3" s="87">
        <v>1.0209999999999999</v>
      </c>
      <c r="G3" s="86">
        <v>1.0269999999999999</v>
      </c>
      <c r="H3" s="232">
        <v>1.0029999999999999</v>
      </c>
      <c r="I3" s="88">
        <v>1.0289999999999999</v>
      </c>
      <c r="J3" s="88">
        <v>1.0049999999999999</v>
      </c>
      <c r="K3" s="89">
        <v>1.026</v>
      </c>
      <c r="L3" s="88">
        <v>1.0129999999999999</v>
      </c>
      <c r="M3" s="88">
        <v>1.0029999999999999</v>
      </c>
      <c r="N3" s="86">
        <v>1.0029999999999999</v>
      </c>
      <c r="O3" s="90">
        <v>1.0209999999999999</v>
      </c>
      <c r="P3" s="232">
        <v>1.032</v>
      </c>
      <c r="Q3" s="86">
        <v>1.0349999999999999</v>
      </c>
      <c r="R3" s="91"/>
      <c r="S3" s="72"/>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row>
    <row r="4" spans="1:247" x14ac:dyDescent="0.35">
      <c r="A4" s="244">
        <v>1321</v>
      </c>
      <c r="B4" s="233" t="s">
        <v>1992</v>
      </c>
      <c r="C4" s="186" t="s">
        <v>40</v>
      </c>
      <c r="D4" s="245" t="s">
        <v>1993</v>
      </c>
      <c r="E4" s="74"/>
      <c r="F4" s="75">
        <f t="shared" ref="F4:F137" si="0">+$F$3</f>
        <v>1.0209999999999999</v>
      </c>
      <c r="G4" s="76"/>
      <c r="H4" s="74"/>
      <c r="I4" s="75"/>
      <c r="J4" s="75"/>
      <c r="K4" s="75"/>
      <c r="L4" s="75"/>
      <c r="M4" s="75"/>
      <c r="N4" s="77"/>
      <c r="O4" s="78"/>
      <c r="P4" s="74"/>
      <c r="Q4" s="77"/>
      <c r="R4" s="79">
        <f t="shared" ref="R4:R137" si="1">PRODUCT(E4:Q4)</f>
        <v>1.0209999999999999</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row>
    <row r="5" spans="1:247" x14ac:dyDescent="0.35">
      <c r="A5" s="244">
        <v>1341</v>
      </c>
      <c r="B5" s="233" t="s">
        <v>1994</v>
      </c>
      <c r="C5" s="186" t="s">
        <v>40</v>
      </c>
      <c r="D5" s="245" t="s">
        <v>1993</v>
      </c>
      <c r="E5" s="119"/>
      <c r="F5" s="75">
        <f t="shared" si="0"/>
        <v>1.0209999999999999</v>
      </c>
      <c r="G5" s="252"/>
      <c r="H5" s="119"/>
      <c r="I5" s="234"/>
      <c r="J5" s="234"/>
      <c r="K5" s="234"/>
      <c r="L5" s="234"/>
      <c r="M5" s="234"/>
      <c r="N5" s="252"/>
      <c r="O5" s="80"/>
      <c r="P5" s="119"/>
      <c r="Q5" s="252"/>
      <c r="R5" s="81">
        <f t="shared" si="1"/>
        <v>1.0209999999999999</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row>
    <row r="6" spans="1:247" x14ac:dyDescent="0.35">
      <c r="A6" s="244">
        <v>1351</v>
      </c>
      <c r="B6" s="233" t="s">
        <v>1995</v>
      </c>
      <c r="C6" s="186" t="s">
        <v>218</v>
      </c>
      <c r="D6" s="245" t="s">
        <v>1996</v>
      </c>
      <c r="E6" s="119"/>
      <c r="F6" s="75">
        <f t="shared" si="0"/>
        <v>1.0209999999999999</v>
      </c>
      <c r="G6" s="252">
        <f t="shared" ref="G6:G9" si="2">+$G$3</f>
        <v>1.0269999999999999</v>
      </c>
      <c r="H6" s="119"/>
      <c r="I6" s="234"/>
      <c r="J6" s="234"/>
      <c r="K6" s="234"/>
      <c r="L6" s="234"/>
      <c r="M6" s="234"/>
      <c r="N6" s="252"/>
      <c r="O6" s="80"/>
      <c r="P6" s="119"/>
      <c r="Q6" s="252"/>
      <c r="R6" s="81">
        <f t="shared" si="1"/>
        <v>1.0485669999999998</v>
      </c>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row>
    <row r="7" spans="1:247" x14ac:dyDescent="0.35">
      <c r="A7" s="269">
        <v>1352</v>
      </c>
      <c r="B7" s="270" t="s">
        <v>2862</v>
      </c>
      <c r="C7" s="186" t="s">
        <v>218</v>
      </c>
      <c r="D7" s="245" t="s">
        <v>1996</v>
      </c>
      <c r="E7" s="323"/>
      <c r="F7" s="75">
        <f t="shared" si="0"/>
        <v>1.0209999999999999</v>
      </c>
      <c r="G7" s="252">
        <f t="shared" si="2"/>
        <v>1.0269999999999999</v>
      </c>
      <c r="H7" s="323"/>
      <c r="I7" s="324"/>
      <c r="J7" s="324"/>
      <c r="K7" s="324"/>
      <c r="L7" s="324"/>
      <c r="M7" s="324"/>
      <c r="N7" s="252"/>
      <c r="O7" s="80"/>
      <c r="P7" s="323"/>
      <c r="Q7" s="252"/>
      <c r="R7" s="81">
        <f t="shared" si="1"/>
        <v>1.0485669999999998</v>
      </c>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row>
    <row r="8" spans="1:247" x14ac:dyDescent="0.35">
      <c r="A8" s="269">
        <v>1353</v>
      </c>
      <c r="B8" s="270" t="s">
        <v>2866</v>
      </c>
      <c r="C8" s="186" t="s">
        <v>218</v>
      </c>
      <c r="D8" s="245" t="s">
        <v>1996</v>
      </c>
      <c r="E8" s="323"/>
      <c r="F8" s="75">
        <f t="shared" si="0"/>
        <v>1.0209999999999999</v>
      </c>
      <c r="G8" s="252">
        <f t="shared" si="2"/>
        <v>1.0269999999999999</v>
      </c>
      <c r="H8" s="323"/>
      <c r="I8" s="324"/>
      <c r="J8" s="324"/>
      <c r="K8" s="324"/>
      <c r="L8" s="324"/>
      <c r="M8" s="324"/>
      <c r="N8" s="252"/>
      <c r="O8" s="80"/>
      <c r="P8" s="323"/>
      <c r="Q8" s="252"/>
      <c r="R8" s="81">
        <f t="shared" si="1"/>
        <v>1.0485669999999998</v>
      </c>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row>
    <row r="9" spans="1:247" x14ac:dyDescent="0.35">
      <c r="A9" s="269">
        <v>1354</v>
      </c>
      <c r="B9" s="270" t="s">
        <v>2863</v>
      </c>
      <c r="C9" s="186" t="s">
        <v>218</v>
      </c>
      <c r="D9" s="245" t="s">
        <v>1996</v>
      </c>
      <c r="E9" s="323"/>
      <c r="F9" s="75">
        <f t="shared" si="0"/>
        <v>1.0209999999999999</v>
      </c>
      <c r="G9" s="252">
        <f t="shared" si="2"/>
        <v>1.0269999999999999</v>
      </c>
      <c r="H9" s="323"/>
      <c r="I9" s="324"/>
      <c r="J9" s="324"/>
      <c r="K9" s="324"/>
      <c r="L9" s="324"/>
      <c r="M9" s="324"/>
      <c r="N9" s="252"/>
      <c r="O9" s="80"/>
      <c r="P9" s="323">
        <f>+P3</f>
        <v>1.032</v>
      </c>
      <c r="Q9" s="323">
        <f>+Q3</f>
        <v>1.0349999999999999</v>
      </c>
      <c r="R9" s="81">
        <f t="shared" si="1"/>
        <v>1.1199953840399997</v>
      </c>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row>
    <row r="10" spans="1:247" x14ac:dyDescent="0.35">
      <c r="A10" s="244">
        <v>1362</v>
      </c>
      <c r="B10" s="233" t="s">
        <v>1997</v>
      </c>
      <c r="C10" s="186" t="s">
        <v>40</v>
      </c>
      <c r="D10" s="245" t="s">
        <v>1993</v>
      </c>
      <c r="E10" s="119"/>
      <c r="F10" s="75">
        <f t="shared" si="0"/>
        <v>1.0209999999999999</v>
      </c>
      <c r="G10" s="252"/>
      <c r="H10" s="119"/>
      <c r="I10" s="234"/>
      <c r="J10" s="234"/>
      <c r="K10" s="234"/>
      <c r="L10" s="234"/>
      <c r="M10" s="234"/>
      <c r="N10" s="252"/>
      <c r="O10" s="80"/>
      <c r="P10" s="119"/>
      <c r="Q10" s="252"/>
      <c r="R10" s="81">
        <f t="shared" si="1"/>
        <v>1.0209999999999999</v>
      </c>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row>
    <row r="11" spans="1:247" x14ac:dyDescent="0.35">
      <c r="A11" s="244">
        <v>1381</v>
      </c>
      <c r="B11" s="233" t="s">
        <v>1998</v>
      </c>
      <c r="C11" s="186" t="s">
        <v>40</v>
      </c>
      <c r="D11" s="245" t="s">
        <v>1993</v>
      </c>
      <c r="E11" s="119"/>
      <c r="F11" s="75">
        <f t="shared" si="0"/>
        <v>1.0209999999999999</v>
      </c>
      <c r="G11" s="252"/>
      <c r="H11" s="119"/>
      <c r="I11" s="234"/>
      <c r="J11" s="234"/>
      <c r="K11" s="234"/>
      <c r="L11" s="234"/>
      <c r="M11" s="234"/>
      <c r="N11" s="252"/>
      <c r="O11" s="80"/>
      <c r="P11" s="119"/>
      <c r="Q11" s="252"/>
      <c r="R11" s="81">
        <f t="shared" si="1"/>
        <v>1.0209999999999999</v>
      </c>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row>
    <row r="12" spans="1:247" x14ac:dyDescent="0.35">
      <c r="A12" s="244">
        <v>1422</v>
      </c>
      <c r="B12" s="233" t="s">
        <v>1999</v>
      </c>
      <c r="C12" s="186" t="s">
        <v>40</v>
      </c>
      <c r="D12" s="245" t="s">
        <v>1993</v>
      </c>
      <c r="E12" s="119"/>
      <c r="F12" s="75">
        <f t="shared" si="0"/>
        <v>1.0209999999999999</v>
      </c>
      <c r="G12" s="252"/>
      <c r="H12" s="119"/>
      <c r="I12" s="234"/>
      <c r="J12" s="234"/>
      <c r="K12" s="234"/>
      <c r="L12" s="234"/>
      <c r="M12" s="234"/>
      <c r="N12" s="252"/>
      <c r="O12" s="80"/>
      <c r="P12" s="119"/>
      <c r="Q12" s="252"/>
      <c r="R12" s="81">
        <f t="shared" si="1"/>
        <v>1.0209999999999999</v>
      </c>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row>
    <row r="13" spans="1:247" x14ac:dyDescent="0.35">
      <c r="A13" s="244">
        <v>1431</v>
      </c>
      <c r="B13" s="233" t="s">
        <v>2000</v>
      </c>
      <c r="C13" s="186" t="s">
        <v>108</v>
      </c>
      <c r="D13" s="245" t="s">
        <v>2001</v>
      </c>
      <c r="E13" s="119">
        <f t="shared" ref="E13:E19" si="3">+$E$3</f>
        <v>1.0740000000000001</v>
      </c>
      <c r="F13" s="75">
        <f t="shared" si="0"/>
        <v>1.0209999999999999</v>
      </c>
      <c r="G13" s="252">
        <f t="shared" ref="G13:G20" si="4">+$G$3</f>
        <v>1.0269999999999999</v>
      </c>
      <c r="H13" s="119">
        <f>+$H$3</f>
        <v>1.0029999999999999</v>
      </c>
      <c r="I13" s="234">
        <f>+$I$3</f>
        <v>1.0289999999999999</v>
      </c>
      <c r="J13" s="234">
        <f>+$J$3</f>
        <v>1.0049999999999999</v>
      </c>
      <c r="K13" s="234">
        <f>+$K$3</f>
        <v>1.026</v>
      </c>
      <c r="L13" s="234">
        <f>+$L$3</f>
        <v>1.0129999999999999</v>
      </c>
      <c r="M13" s="234">
        <f>+$M$3</f>
        <v>1.0029999999999999</v>
      </c>
      <c r="N13" s="252">
        <f>+$N$3</f>
        <v>1.0029999999999999</v>
      </c>
      <c r="O13" s="80">
        <f>+$O$3</f>
        <v>1.0209999999999999</v>
      </c>
      <c r="P13" s="119">
        <f t="shared" ref="P13:P20" si="5">+$P$3</f>
        <v>1.032</v>
      </c>
      <c r="Q13" s="252">
        <f t="shared" ref="Q13:Q20" si="6">+$Q$3</f>
        <v>1.0349999999999999</v>
      </c>
      <c r="R13" s="81">
        <f t="shared" si="1"/>
        <v>1.3319480854780448</v>
      </c>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row>
    <row r="14" spans="1:247" x14ac:dyDescent="0.35">
      <c r="A14" s="244">
        <v>1441</v>
      </c>
      <c r="B14" s="233" t="s">
        <v>2002</v>
      </c>
      <c r="C14" s="186" t="s">
        <v>108</v>
      </c>
      <c r="D14" s="245" t="s">
        <v>2001</v>
      </c>
      <c r="E14" s="119">
        <f t="shared" si="3"/>
        <v>1.0740000000000001</v>
      </c>
      <c r="F14" s="75">
        <f t="shared" si="0"/>
        <v>1.0209999999999999</v>
      </c>
      <c r="G14" s="252">
        <f t="shared" si="4"/>
        <v>1.0269999999999999</v>
      </c>
      <c r="H14" s="119">
        <f>+$H$3</f>
        <v>1.0029999999999999</v>
      </c>
      <c r="I14" s="234">
        <f>+$I$3</f>
        <v>1.0289999999999999</v>
      </c>
      <c r="J14" s="234">
        <f>+$J$3</f>
        <v>1.0049999999999999</v>
      </c>
      <c r="K14" s="234">
        <f>+$K$3</f>
        <v>1.026</v>
      </c>
      <c r="L14" s="234">
        <f>+$L$3</f>
        <v>1.0129999999999999</v>
      </c>
      <c r="M14" s="234">
        <f>+$M$3</f>
        <v>1.0029999999999999</v>
      </c>
      <c r="N14" s="252">
        <f>+$N$3</f>
        <v>1.0029999999999999</v>
      </c>
      <c r="O14" s="80">
        <f>+$O$3</f>
        <v>1.0209999999999999</v>
      </c>
      <c r="P14" s="119">
        <f t="shared" si="5"/>
        <v>1.032</v>
      </c>
      <c r="Q14" s="252">
        <f t="shared" si="6"/>
        <v>1.0349999999999999</v>
      </c>
      <c r="R14" s="81">
        <f t="shared" si="1"/>
        <v>1.3319480854780448</v>
      </c>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row>
    <row r="15" spans="1:247" x14ac:dyDescent="0.35">
      <c r="A15" s="244">
        <v>1442</v>
      </c>
      <c r="B15" s="233" t="s">
        <v>2003</v>
      </c>
      <c r="C15" s="186" t="s">
        <v>108</v>
      </c>
      <c r="D15" s="245" t="s">
        <v>2001</v>
      </c>
      <c r="E15" s="119">
        <f t="shared" si="3"/>
        <v>1.0740000000000001</v>
      </c>
      <c r="F15" s="75">
        <f t="shared" si="0"/>
        <v>1.0209999999999999</v>
      </c>
      <c r="G15" s="252">
        <f t="shared" si="4"/>
        <v>1.0269999999999999</v>
      </c>
      <c r="H15" s="119">
        <f>+$H$3</f>
        <v>1.0029999999999999</v>
      </c>
      <c r="I15" s="234">
        <f>+$I$3</f>
        <v>1.0289999999999999</v>
      </c>
      <c r="J15" s="234">
        <f>+$J$3</f>
        <v>1.0049999999999999</v>
      </c>
      <c r="K15" s="234">
        <f>+$K$3</f>
        <v>1.026</v>
      </c>
      <c r="L15" s="234">
        <f>+$L$3</f>
        <v>1.0129999999999999</v>
      </c>
      <c r="M15" s="234">
        <f>+$M$3</f>
        <v>1.0029999999999999</v>
      </c>
      <c r="N15" s="252">
        <f>+$N$3</f>
        <v>1.0029999999999999</v>
      </c>
      <c r="O15" s="80">
        <f>+$O$3</f>
        <v>1.0209999999999999</v>
      </c>
      <c r="P15" s="119">
        <f t="shared" si="5"/>
        <v>1.032</v>
      </c>
      <c r="Q15" s="252">
        <f t="shared" si="6"/>
        <v>1.0349999999999999</v>
      </c>
      <c r="R15" s="81">
        <f t="shared" si="1"/>
        <v>1.3319480854780448</v>
      </c>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row>
    <row r="16" spans="1:247" x14ac:dyDescent="0.35">
      <c r="A16" s="244">
        <v>1443</v>
      </c>
      <c r="B16" s="233" t="s">
        <v>2004</v>
      </c>
      <c r="C16" s="186" t="s">
        <v>108</v>
      </c>
      <c r="D16" s="245" t="s">
        <v>2001</v>
      </c>
      <c r="E16" s="119">
        <f t="shared" si="3"/>
        <v>1.0740000000000001</v>
      </c>
      <c r="F16" s="75">
        <f t="shared" si="0"/>
        <v>1.0209999999999999</v>
      </c>
      <c r="G16" s="252">
        <f t="shared" si="4"/>
        <v>1.0269999999999999</v>
      </c>
      <c r="H16" s="119">
        <f>+$H$3</f>
        <v>1.0029999999999999</v>
      </c>
      <c r="I16" s="234">
        <f>+$I$3</f>
        <v>1.0289999999999999</v>
      </c>
      <c r="J16" s="234">
        <f>+$J$3</f>
        <v>1.0049999999999999</v>
      </c>
      <c r="K16" s="234"/>
      <c r="L16" s="234"/>
      <c r="M16" s="234">
        <f>+$M$3</f>
        <v>1.0029999999999999</v>
      </c>
      <c r="N16" s="252">
        <f>+$N$3</f>
        <v>1.0029999999999999</v>
      </c>
      <c r="O16" s="80"/>
      <c r="P16" s="119">
        <f t="shared" si="5"/>
        <v>1.032</v>
      </c>
      <c r="Q16" s="252">
        <f t="shared" si="6"/>
        <v>1.0349999999999999</v>
      </c>
      <c r="R16" s="81">
        <f t="shared" si="1"/>
        <v>1.2551763558420395</v>
      </c>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row>
    <row r="17" spans="1:247" x14ac:dyDescent="0.35">
      <c r="A17" s="244">
        <v>1446</v>
      </c>
      <c r="B17" s="233" t="s">
        <v>2005</v>
      </c>
      <c r="C17" s="186" t="s">
        <v>108</v>
      </c>
      <c r="D17" s="245" t="s">
        <v>2001</v>
      </c>
      <c r="E17" s="119">
        <f t="shared" si="3"/>
        <v>1.0740000000000001</v>
      </c>
      <c r="F17" s="75">
        <f t="shared" si="0"/>
        <v>1.0209999999999999</v>
      </c>
      <c r="G17" s="252">
        <f t="shared" si="4"/>
        <v>1.0269999999999999</v>
      </c>
      <c r="H17" s="119"/>
      <c r="I17" s="234">
        <f>+$I$3</f>
        <v>1.0289999999999999</v>
      </c>
      <c r="J17" s="234">
        <f>+$J$3</f>
        <v>1.0049999999999999</v>
      </c>
      <c r="K17" s="234">
        <f>+$K$3</f>
        <v>1.026</v>
      </c>
      <c r="L17" s="234">
        <f>+$L$3</f>
        <v>1.0129999999999999</v>
      </c>
      <c r="M17" s="234">
        <f>+$M$3</f>
        <v>1.0029999999999999</v>
      </c>
      <c r="N17" s="252">
        <f>+$N$3</f>
        <v>1.0029999999999999</v>
      </c>
      <c r="O17" s="80">
        <f>+$O$3</f>
        <v>1.0209999999999999</v>
      </c>
      <c r="P17" s="119">
        <f t="shared" si="5"/>
        <v>1.032</v>
      </c>
      <c r="Q17" s="252">
        <f t="shared" si="6"/>
        <v>1.0349999999999999</v>
      </c>
      <c r="R17" s="81">
        <f t="shared" si="1"/>
        <v>1.3279641928993471</v>
      </c>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row>
    <row r="18" spans="1:247" x14ac:dyDescent="0.35">
      <c r="A18" s="244">
        <v>1463</v>
      </c>
      <c r="B18" s="233" t="s">
        <v>2006</v>
      </c>
      <c r="C18" s="186" t="s">
        <v>40</v>
      </c>
      <c r="D18" s="245"/>
      <c r="E18" s="119"/>
      <c r="F18" s="75">
        <f t="shared" si="0"/>
        <v>1.0209999999999999</v>
      </c>
      <c r="G18" s="252">
        <f t="shared" si="4"/>
        <v>1.0269999999999999</v>
      </c>
      <c r="H18" s="119"/>
      <c r="I18" s="234"/>
      <c r="J18" s="234"/>
      <c r="K18" s="234"/>
      <c r="L18" s="234"/>
      <c r="M18" s="234"/>
      <c r="N18" s="252"/>
      <c r="O18" s="80"/>
      <c r="P18" s="119">
        <f t="shared" si="5"/>
        <v>1.032</v>
      </c>
      <c r="Q18" s="252">
        <f t="shared" si="6"/>
        <v>1.0349999999999999</v>
      </c>
      <c r="R18" s="81">
        <f t="shared" si="1"/>
        <v>1.1199953840399997</v>
      </c>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row>
    <row r="19" spans="1:247" x14ac:dyDescent="0.35">
      <c r="A19" s="244">
        <v>1491</v>
      </c>
      <c r="B19" s="233" t="s">
        <v>2007</v>
      </c>
      <c r="C19" s="186" t="s">
        <v>40</v>
      </c>
      <c r="D19" s="245" t="s">
        <v>1993</v>
      </c>
      <c r="E19" s="119">
        <f t="shared" si="3"/>
        <v>1.0740000000000001</v>
      </c>
      <c r="F19" s="75">
        <f t="shared" si="0"/>
        <v>1.0209999999999999</v>
      </c>
      <c r="G19" s="252">
        <f t="shared" si="4"/>
        <v>1.0269999999999999</v>
      </c>
      <c r="H19" s="119"/>
      <c r="I19" s="234"/>
      <c r="J19" s="234"/>
      <c r="K19" s="234"/>
      <c r="L19" s="234"/>
      <c r="M19" s="234"/>
      <c r="N19" s="252"/>
      <c r="O19" s="80">
        <f>+$O$3</f>
        <v>1.0209999999999999</v>
      </c>
      <c r="P19" s="119">
        <f t="shared" si="5"/>
        <v>1.032</v>
      </c>
      <c r="Q19" s="252">
        <f t="shared" si="6"/>
        <v>1.0349999999999999</v>
      </c>
      <c r="R19" s="81">
        <f t="shared" si="1"/>
        <v>1.2281354183505979</v>
      </c>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row>
    <row r="20" spans="1:247" x14ac:dyDescent="0.35">
      <c r="A20" s="244">
        <v>1493</v>
      </c>
      <c r="B20" s="233" t="s">
        <v>2008</v>
      </c>
      <c r="C20" s="186" t="s">
        <v>40</v>
      </c>
      <c r="D20" s="245" t="s">
        <v>1993</v>
      </c>
      <c r="E20" s="119"/>
      <c r="F20" s="75">
        <f t="shared" si="0"/>
        <v>1.0209999999999999</v>
      </c>
      <c r="G20" s="252">
        <f t="shared" si="4"/>
        <v>1.0269999999999999</v>
      </c>
      <c r="H20" s="119"/>
      <c r="I20" s="234"/>
      <c r="J20" s="234"/>
      <c r="K20" s="234"/>
      <c r="L20" s="234"/>
      <c r="M20" s="234"/>
      <c r="N20" s="252"/>
      <c r="O20" s="80"/>
      <c r="P20" s="119">
        <f t="shared" si="5"/>
        <v>1.032</v>
      </c>
      <c r="Q20" s="252">
        <f t="shared" si="6"/>
        <v>1.0349999999999999</v>
      </c>
      <c r="R20" s="81">
        <f t="shared" si="1"/>
        <v>1.1199953840399997</v>
      </c>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row>
    <row r="21" spans="1:247" x14ac:dyDescent="0.35">
      <c r="A21" s="244">
        <v>1495</v>
      </c>
      <c r="B21" s="233" t="s">
        <v>2009</v>
      </c>
      <c r="C21" s="186" t="s">
        <v>40</v>
      </c>
      <c r="D21" s="245" t="s">
        <v>1993</v>
      </c>
      <c r="E21" s="119"/>
      <c r="F21" s="75">
        <f t="shared" si="0"/>
        <v>1.0209999999999999</v>
      </c>
      <c r="G21" s="252"/>
      <c r="H21" s="119"/>
      <c r="I21" s="234"/>
      <c r="J21" s="234"/>
      <c r="K21" s="234"/>
      <c r="L21" s="234"/>
      <c r="M21" s="234"/>
      <c r="N21" s="252"/>
      <c r="O21" s="80"/>
      <c r="P21" s="119"/>
      <c r="Q21" s="252"/>
      <c r="R21" s="81">
        <f t="shared" si="1"/>
        <v>1.0209999999999999</v>
      </c>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row>
    <row r="22" spans="1:247" x14ac:dyDescent="0.35">
      <c r="A22" s="244">
        <v>1513</v>
      </c>
      <c r="B22" s="233" t="s">
        <v>2010</v>
      </c>
      <c r="C22" s="186" t="s">
        <v>4</v>
      </c>
      <c r="D22" s="245" t="s">
        <v>1993</v>
      </c>
      <c r="E22" s="119"/>
      <c r="F22" s="75">
        <f t="shared" si="0"/>
        <v>1.0209999999999999</v>
      </c>
      <c r="G22" s="252"/>
      <c r="H22" s="119"/>
      <c r="I22" s="234"/>
      <c r="J22" s="234"/>
      <c r="K22" s="234"/>
      <c r="L22" s="234"/>
      <c r="M22" s="234"/>
      <c r="N22" s="252"/>
      <c r="O22" s="80"/>
      <c r="P22" s="119">
        <f>+$P$3</f>
        <v>1.032</v>
      </c>
      <c r="Q22" s="252">
        <f>+$Q$3</f>
        <v>1.0349999999999999</v>
      </c>
      <c r="R22" s="81">
        <f t="shared" si="1"/>
        <v>1.0905505199999999</v>
      </c>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row>
    <row r="23" spans="1:247" x14ac:dyDescent="0.35">
      <c r="A23" s="244">
        <v>1541</v>
      </c>
      <c r="B23" s="233" t="s">
        <v>2011</v>
      </c>
      <c r="C23" s="186" t="s">
        <v>28</v>
      </c>
      <c r="D23" s="245" t="s">
        <v>1993</v>
      </c>
      <c r="E23" s="119"/>
      <c r="F23" s="75">
        <f t="shared" si="0"/>
        <v>1.0209999999999999</v>
      </c>
      <c r="G23" s="252"/>
      <c r="H23" s="119"/>
      <c r="I23" s="234"/>
      <c r="J23" s="234"/>
      <c r="K23" s="234"/>
      <c r="L23" s="234"/>
      <c r="M23" s="234"/>
      <c r="N23" s="252"/>
      <c r="O23" s="80"/>
      <c r="P23" s="119"/>
      <c r="Q23" s="252"/>
      <c r="R23" s="81">
        <f t="shared" si="1"/>
        <v>1.0209999999999999</v>
      </c>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row>
    <row r="24" spans="1:247" x14ac:dyDescent="0.35">
      <c r="A24" s="244">
        <v>1551</v>
      </c>
      <c r="B24" s="233" t="s">
        <v>2012</v>
      </c>
      <c r="C24" s="186" t="s">
        <v>393</v>
      </c>
      <c r="D24" s="245" t="s">
        <v>1993</v>
      </c>
      <c r="E24" s="119"/>
      <c r="F24" s="75">
        <f t="shared" si="0"/>
        <v>1.0209999999999999</v>
      </c>
      <c r="G24" s="252"/>
      <c r="H24" s="119"/>
      <c r="I24" s="234"/>
      <c r="J24" s="234"/>
      <c r="K24" s="234"/>
      <c r="L24" s="234"/>
      <c r="M24" s="234"/>
      <c r="N24" s="252"/>
      <c r="O24" s="80"/>
      <c r="P24" s="119">
        <f>+$P$3</f>
        <v>1.032</v>
      </c>
      <c r="Q24" s="252">
        <f>+$Q$3</f>
        <v>1.0349999999999999</v>
      </c>
      <c r="R24" s="81">
        <f t="shared" si="1"/>
        <v>1.0905505199999999</v>
      </c>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row>
    <row r="25" spans="1:247" x14ac:dyDescent="0.35">
      <c r="A25" s="244">
        <v>1552</v>
      </c>
      <c r="B25" s="233" t="s">
        <v>2013</v>
      </c>
      <c r="C25" s="186" t="s">
        <v>108</v>
      </c>
      <c r="D25" s="245" t="s">
        <v>2001</v>
      </c>
      <c r="E25" s="119"/>
      <c r="F25" s="75">
        <f t="shared" si="0"/>
        <v>1.0209999999999999</v>
      </c>
      <c r="G25" s="252"/>
      <c r="H25" s="119"/>
      <c r="I25" s="234"/>
      <c r="J25" s="234">
        <f>+$J$3</f>
        <v>1.0049999999999999</v>
      </c>
      <c r="K25" s="234"/>
      <c r="L25" s="234"/>
      <c r="M25" s="234"/>
      <c r="N25" s="252">
        <f>+$N$3</f>
        <v>1.0029999999999999</v>
      </c>
      <c r="O25" s="80">
        <f>+$O$3</f>
        <v>1.0209999999999999</v>
      </c>
      <c r="P25" s="119">
        <f>+$P$3</f>
        <v>1.032</v>
      </c>
      <c r="Q25" s="252">
        <f>+$Q$3</f>
        <v>1.0349999999999999</v>
      </c>
      <c r="R25" s="81">
        <f t="shared" si="1"/>
        <v>1.1223763993485734</v>
      </c>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row>
    <row r="26" spans="1:247" x14ac:dyDescent="0.35">
      <c r="A26" s="244">
        <v>1591</v>
      </c>
      <c r="B26" s="233" t="s">
        <v>2014</v>
      </c>
      <c r="C26" s="186" t="s">
        <v>40</v>
      </c>
      <c r="D26" s="245" t="s">
        <v>1993</v>
      </c>
      <c r="E26" s="119"/>
      <c r="F26" s="75">
        <f t="shared" si="0"/>
        <v>1.0209999999999999</v>
      </c>
      <c r="G26" s="252"/>
      <c r="H26" s="119"/>
      <c r="I26" s="234"/>
      <c r="J26" s="234"/>
      <c r="K26" s="234"/>
      <c r="L26" s="234"/>
      <c r="M26" s="234"/>
      <c r="N26" s="252"/>
      <c r="O26" s="80"/>
      <c r="P26" s="119"/>
      <c r="Q26" s="252"/>
      <c r="R26" s="81">
        <f t="shared" si="1"/>
        <v>1.0209999999999999</v>
      </c>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row>
    <row r="27" spans="1:247" x14ac:dyDescent="0.35">
      <c r="A27" s="244">
        <v>1593</v>
      </c>
      <c r="B27" s="233" t="s">
        <v>2015</v>
      </c>
      <c r="C27" s="186" t="s">
        <v>4</v>
      </c>
      <c r="D27" s="245" t="s">
        <v>1993</v>
      </c>
      <c r="E27" s="119"/>
      <c r="F27" s="75">
        <f t="shared" si="0"/>
        <v>1.0209999999999999</v>
      </c>
      <c r="G27" s="252"/>
      <c r="H27" s="119"/>
      <c r="I27" s="234"/>
      <c r="J27" s="234"/>
      <c r="K27" s="234"/>
      <c r="L27" s="234"/>
      <c r="M27" s="234"/>
      <c r="N27" s="252"/>
      <c r="O27" s="80"/>
      <c r="P27" s="119"/>
      <c r="Q27" s="252"/>
      <c r="R27" s="81">
        <f>PRODUCT(E27:Q27)</f>
        <v>1.0209999999999999</v>
      </c>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row>
    <row r="28" spans="1:247" x14ac:dyDescent="0.35">
      <c r="A28" s="244">
        <v>1641</v>
      </c>
      <c r="B28" s="233" t="s">
        <v>2016</v>
      </c>
      <c r="C28" s="186" t="s">
        <v>28</v>
      </c>
      <c r="D28" s="245" t="s">
        <v>1993</v>
      </c>
      <c r="E28" s="119"/>
      <c r="F28" s="75">
        <f t="shared" si="0"/>
        <v>1.0209999999999999</v>
      </c>
      <c r="G28" s="252">
        <f>+$G$3</f>
        <v>1.0269999999999999</v>
      </c>
      <c r="H28" s="119"/>
      <c r="I28" s="234"/>
      <c r="J28" s="234"/>
      <c r="K28" s="234"/>
      <c r="L28" s="234"/>
      <c r="M28" s="234"/>
      <c r="N28" s="252"/>
      <c r="O28" s="80"/>
      <c r="P28" s="119"/>
      <c r="Q28" s="252"/>
      <c r="R28" s="81">
        <f t="shared" si="1"/>
        <v>1.0485669999999998</v>
      </c>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row>
    <row r="29" spans="1:247" x14ac:dyDescent="0.35">
      <c r="A29" s="244">
        <v>1725</v>
      </c>
      <c r="B29" s="233" t="s">
        <v>2017</v>
      </c>
      <c r="C29" s="186" t="s">
        <v>40</v>
      </c>
      <c r="D29" s="245" t="s">
        <v>1993</v>
      </c>
      <c r="E29" s="119"/>
      <c r="F29" s="75">
        <f t="shared" si="0"/>
        <v>1.0209999999999999</v>
      </c>
      <c r="G29" s="252">
        <f>+$G$3</f>
        <v>1.0269999999999999</v>
      </c>
      <c r="H29" s="119"/>
      <c r="I29" s="234"/>
      <c r="J29" s="234"/>
      <c r="K29" s="234"/>
      <c r="L29" s="234">
        <f>+$L$3</f>
        <v>1.0129999999999999</v>
      </c>
      <c r="M29" s="234"/>
      <c r="N29" s="252">
        <f>+$N$3</f>
        <v>1.0029999999999999</v>
      </c>
      <c r="O29" s="80"/>
      <c r="P29" s="119">
        <f>+$P$3</f>
        <v>1.032</v>
      </c>
      <c r="Q29" s="252">
        <f>+$Q$3</f>
        <v>1.0349999999999999</v>
      </c>
      <c r="R29" s="81">
        <f t="shared" si="1"/>
        <v>1.1379589900046172</v>
      </c>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row>
    <row r="30" spans="1:247" x14ac:dyDescent="0.35">
      <c r="A30" s="244">
        <v>1726</v>
      </c>
      <c r="B30" s="233" t="s">
        <v>2018</v>
      </c>
      <c r="C30" s="186" t="s">
        <v>108</v>
      </c>
      <c r="D30" s="245" t="s">
        <v>2001</v>
      </c>
      <c r="E30" s="119"/>
      <c r="F30" s="75">
        <f t="shared" si="0"/>
        <v>1.0209999999999999</v>
      </c>
      <c r="G30" s="252">
        <f t="shared" ref="G30:G68" si="7">+$G$3</f>
        <v>1.0269999999999999</v>
      </c>
      <c r="H30" s="119"/>
      <c r="I30" s="234"/>
      <c r="J30" s="234"/>
      <c r="K30" s="234"/>
      <c r="L30" s="234"/>
      <c r="M30" s="234"/>
      <c r="N30" s="252"/>
      <c r="O30" s="80"/>
      <c r="P30" s="119">
        <f>+$P$3</f>
        <v>1.032</v>
      </c>
      <c r="Q30" s="252"/>
      <c r="R30" s="81">
        <f t="shared" si="1"/>
        <v>1.0821211439999998</v>
      </c>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row>
    <row r="31" spans="1:247" x14ac:dyDescent="0.35">
      <c r="A31" s="244">
        <v>1735</v>
      </c>
      <c r="B31" s="284" t="s">
        <v>2893</v>
      </c>
      <c r="C31" s="271" t="s">
        <v>108</v>
      </c>
      <c r="D31" s="245" t="s">
        <v>1993</v>
      </c>
      <c r="E31" s="323"/>
      <c r="F31" s="75">
        <f t="shared" si="0"/>
        <v>1.0209999999999999</v>
      </c>
      <c r="G31" s="252">
        <f t="shared" si="7"/>
        <v>1.0269999999999999</v>
      </c>
      <c r="H31" s="323">
        <v>1.0029999999999999</v>
      </c>
      <c r="I31" s="324"/>
      <c r="J31" s="324"/>
      <c r="K31" s="324"/>
      <c r="L31" s="324"/>
      <c r="M31" s="324"/>
      <c r="N31" s="252"/>
      <c r="O31" s="80">
        <v>1.0209999999999999</v>
      </c>
      <c r="P31" s="323"/>
      <c r="Q31" s="252"/>
      <c r="R31" s="81">
        <f t="shared" si="1"/>
        <v>1.0737986677209994</v>
      </c>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row>
    <row r="32" spans="1:247" x14ac:dyDescent="0.35">
      <c r="A32" s="244">
        <v>1736</v>
      </c>
      <c r="B32" s="284" t="s">
        <v>2864</v>
      </c>
      <c r="C32" s="271" t="s">
        <v>40</v>
      </c>
      <c r="D32" s="245" t="s">
        <v>1993</v>
      </c>
      <c r="E32" s="323"/>
      <c r="F32" s="75">
        <f t="shared" si="0"/>
        <v>1.0209999999999999</v>
      </c>
      <c r="G32" s="252"/>
      <c r="H32" s="323"/>
      <c r="I32" s="324"/>
      <c r="J32" s="324"/>
      <c r="K32" s="324"/>
      <c r="L32" s="324"/>
      <c r="M32" s="324"/>
      <c r="N32" s="252"/>
      <c r="O32" s="80"/>
      <c r="P32" s="323"/>
      <c r="Q32" s="252">
        <f>+$Q$3</f>
        <v>1.0349999999999999</v>
      </c>
      <c r="R32" s="81">
        <f t="shared" si="1"/>
        <v>1.0567349999999998</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row>
    <row r="33" spans="1:247" x14ac:dyDescent="0.35">
      <c r="A33" s="244">
        <v>1745</v>
      </c>
      <c r="B33" s="233" t="s">
        <v>2019</v>
      </c>
      <c r="C33" s="186" t="s">
        <v>487</v>
      </c>
      <c r="D33" s="245" t="s">
        <v>1993</v>
      </c>
      <c r="E33" s="119"/>
      <c r="F33" s="75">
        <f t="shared" si="0"/>
        <v>1.0209999999999999</v>
      </c>
      <c r="G33" s="252"/>
      <c r="H33" s="119"/>
      <c r="I33" s="234"/>
      <c r="J33" s="234"/>
      <c r="K33" s="234"/>
      <c r="L33" s="234"/>
      <c r="M33" s="234"/>
      <c r="N33" s="252"/>
      <c r="O33" s="80"/>
      <c r="P33" s="119"/>
      <c r="Q33" s="252"/>
      <c r="R33" s="81">
        <f t="shared" si="1"/>
        <v>1.0209999999999999</v>
      </c>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row>
    <row r="34" spans="1:247" x14ac:dyDescent="0.35">
      <c r="A34" s="244">
        <v>1750</v>
      </c>
      <c r="B34" s="233" t="s">
        <v>2020</v>
      </c>
      <c r="C34" s="186" t="s">
        <v>504</v>
      </c>
      <c r="D34" s="245" t="s">
        <v>1993</v>
      </c>
      <c r="E34" s="119"/>
      <c r="F34" s="75">
        <f t="shared" si="0"/>
        <v>1.0209999999999999</v>
      </c>
      <c r="G34" s="252">
        <f t="shared" si="7"/>
        <v>1.0269999999999999</v>
      </c>
      <c r="H34" s="119"/>
      <c r="I34" s="234"/>
      <c r="J34" s="234"/>
      <c r="K34" s="234"/>
      <c r="L34" s="234"/>
      <c r="M34" s="234"/>
      <c r="N34" s="252"/>
      <c r="O34" s="80"/>
      <c r="P34" s="119"/>
      <c r="Q34" s="252"/>
      <c r="R34" s="81">
        <f t="shared" si="1"/>
        <v>1.0485669999999998</v>
      </c>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row>
    <row r="35" spans="1:247" x14ac:dyDescent="0.35">
      <c r="A35" s="244">
        <v>1751</v>
      </c>
      <c r="B35" s="233" t="s">
        <v>2021</v>
      </c>
      <c r="C35" s="186" t="s">
        <v>504</v>
      </c>
      <c r="D35" s="245" t="s">
        <v>1993</v>
      </c>
      <c r="E35" s="119"/>
      <c r="F35" s="75">
        <f t="shared" si="0"/>
        <v>1.0209999999999999</v>
      </c>
      <c r="G35" s="252">
        <f t="shared" si="7"/>
        <v>1.0269999999999999</v>
      </c>
      <c r="H35" s="119"/>
      <c r="I35" s="234"/>
      <c r="J35" s="234"/>
      <c r="K35" s="234"/>
      <c r="L35" s="234"/>
      <c r="M35" s="234"/>
      <c r="N35" s="252"/>
      <c r="O35" s="80"/>
      <c r="P35" s="119"/>
      <c r="Q35" s="252"/>
      <c r="R35" s="81">
        <f t="shared" si="1"/>
        <v>1.0485669999999998</v>
      </c>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row>
    <row r="36" spans="1:247" x14ac:dyDescent="0.35">
      <c r="A36" s="244">
        <v>1752</v>
      </c>
      <c r="B36" s="233" t="s">
        <v>2022</v>
      </c>
      <c r="C36" s="186" t="s">
        <v>504</v>
      </c>
      <c r="D36" s="245" t="s">
        <v>1993</v>
      </c>
      <c r="E36" s="119"/>
      <c r="F36" s="75">
        <f t="shared" si="0"/>
        <v>1.0209999999999999</v>
      </c>
      <c r="G36" s="252">
        <f t="shared" si="7"/>
        <v>1.0269999999999999</v>
      </c>
      <c r="H36" s="119"/>
      <c r="I36" s="234"/>
      <c r="J36" s="234"/>
      <c r="K36" s="234"/>
      <c r="L36" s="234"/>
      <c r="M36" s="234"/>
      <c r="N36" s="252"/>
      <c r="O36" s="80"/>
      <c r="P36" s="119"/>
      <c r="Q36" s="252"/>
      <c r="R36" s="81">
        <f t="shared" si="1"/>
        <v>1.0485669999999998</v>
      </c>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row>
    <row r="37" spans="1:247" x14ac:dyDescent="0.35">
      <c r="A37" s="244">
        <v>1753</v>
      </c>
      <c r="B37" s="233" t="s">
        <v>2023</v>
      </c>
      <c r="C37" s="186" t="s">
        <v>504</v>
      </c>
      <c r="D37" s="245" t="s">
        <v>1993</v>
      </c>
      <c r="E37" s="119"/>
      <c r="F37" s="75">
        <f t="shared" si="0"/>
        <v>1.0209999999999999</v>
      </c>
      <c r="G37" s="252">
        <f t="shared" si="7"/>
        <v>1.0269999999999999</v>
      </c>
      <c r="H37" s="119"/>
      <c r="I37" s="234"/>
      <c r="J37" s="234"/>
      <c r="K37" s="234"/>
      <c r="L37" s="234"/>
      <c r="M37" s="234"/>
      <c r="N37" s="252"/>
      <c r="O37" s="80"/>
      <c r="P37" s="119"/>
      <c r="Q37" s="252"/>
      <c r="R37" s="81">
        <f t="shared" si="1"/>
        <v>1.0485669999999998</v>
      </c>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row>
    <row r="38" spans="1:247" x14ac:dyDescent="0.35">
      <c r="A38" s="244">
        <v>1754</v>
      </c>
      <c r="B38" s="233" t="s">
        <v>2024</v>
      </c>
      <c r="C38" s="186" t="s">
        <v>504</v>
      </c>
      <c r="D38" s="245" t="s">
        <v>1993</v>
      </c>
      <c r="E38" s="119"/>
      <c r="F38" s="75">
        <f t="shared" si="0"/>
        <v>1.0209999999999999</v>
      </c>
      <c r="G38" s="252">
        <f t="shared" si="7"/>
        <v>1.0269999999999999</v>
      </c>
      <c r="H38" s="119"/>
      <c r="I38" s="234"/>
      <c r="J38" s="234"/>
      <c r="K38" s="234"/>
      <c r="L38" s="234"/>
      <c r="M38" s="234"/>
      <c r="N38" s="252"/>
      <c r="O38" s="80"/>
      <c r="P38" s="119"/>
      <c r="Q38" s="252"/>
      <c r="R38" s="81">
        <f t="shared" si="1"/>
        <v>1.0485669999999998</v>
      </c>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row>
    <row r="39" spans="1:247" x14ac:dyDescent="0.35">
      <c r="A39" s="244">
        <v>1755</v>
      </c>
      <c r="B39" s="233" t="s">
        <v>2025</v>
      </c>
      <c r="C39" s="186" t="s">
        <v>504</v>
      </c>
      <c r="D39" s="245" t="s">
        <v>1993</v>
      </c>
      <c r="E39" s="119"/>
      <c r="F39" s="75">
        <f t="shared" si="0"/>
        <v>1.0209999999999999</v>
      </c>
      <c r="G39" s="252">
        <f t="shared" si="7"/>
        <v>1.0269999999999999</v>
      </c>
      <c r="H39" s="119"/>
      <c r="I39" s="234"/>
      <c r="J39" s="234"/>
      <c r="K39" s="234"/>
      <c r="L39" s="234"/>
      <c r="M39" s="234"/>
      <c r="N39" s="252"/>
      <c r="O39" s="80"/>
      <c r="P39" s="119"/>
      <c r="Q39" s="252"/>
      <c r="R39" s="81">
        <f t="shared" si="1"/>
        <v>1.0485669999999998</v>
      </c>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row>
    <row r="40" spans="1:247" x14ac:dyDescent="0.35">
      <c r="A40" s="244">
        <v>1756</v>
      </c>
      <c r="B40" s="233" t="s">
        <v>2026</v>
      </c>
      <c r="C40" s="186" t="s">
        <v>504</v>
      </c>
      <c r="D40" s="245" t="s">
        <v>1993</v>
      </c>
      <c r="E40" s="119"/>
      <c r="F40" s="75">
        <f t="shared" si="0"/>
        <v>1.0209999999999999</v>
      </c>
      <c r="G40" s="252">
        <f t="shared" si="7"/>
        <v>1.0269999999999999</v>
      </c>
      <c r="H40" s="119"/>
      <c r="I40" s="234"/>
      <c r="J40" s="234"/>
      <c r="K40" s="234"/>
      <c r="L40" s="234"/>
      <c r="M40" s="234"/>
      <c r="N40" s="252"/>
      <c r="O40" s="80"/>
      <c r="P40" s="119"/>
      <c r="Q40" s="252"/>
      <c r="R40" s="81">
        <f t="shared" si="1"/>
        <v>1.0485669999999998</v>
      </c>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row>
    <row r="41" spans="1:247" x14ac:dyDescent="0.35">
      <c r="A41" s="244">
        <v>1757</v>
      </c>
      <c r="B41" s="233" t="s">
        <v>2027</v>
      </c>
      <c r="C41" s="186" t="s">
        <v>504</v>
      </c>
      <c r="D41" s="245" t="s">
        <v>1993</v>
      </c>
      <c r="E41" s="119"/>
      <c r="F41" s="75">
        <f t="shared" si="0"/>
        <v>1.0209999999999999</v>
      </c>
      <c r="G41" s="252">
        <f t="shared" si="7"/>
        <v>1.0269999999999999</v>
      </c>
      <c r="H41" s="119"/>
      <c r="I41" s="234"/>
      <c r="J41" s="234"/>
      <c r="K41" s="234"/>
      <c r="L41" s="234"/>
      <c r="M41" s="234"/>
      <c r="N41" s="252"/>
      <c r="O41" s="80"/>
      <c r="P41" s="119"/>
      <c r="Q41" s="252"/>
      <c r="R41" s="81">
        <f t="shared" si="1"/>
        <v>1.0485669999999998</v>
      </c>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row>
    <row r="42" spans="1:247" x14ac:dyDescent="0.35">
      <c r="A42" s="244">
        <v>1758</v>
      </c>
      <c r="B42" s="233" t="s">
        <v>2028</v>
      </c>
      <c r="C42" s="186" t="s">
        <v>504</v>
      </c>
      <c r="D42" s="245" t="s">
        <v>1993</v>
      </c>
      <c r="E42" s="119"/>
      <c r="F42" s="75">
        <f t="shared" si="0"/>
        <v>1.0209999999999999</v>
      </c>
      <c r="G42" s="252">
        <f t="shared" si="7"/>
        <v>1.0269999999999999</v>
      </c>
      <c r="H42" s="119"/>
      <c r="I42" s="234"/>
      <c r="J42" s="234"/>
      <c r="K42" s="234"/>
      <c r="L42" s="234"/>
      <c r="M42" s="234"/>
      <c r="N42" s="252"/>
      <c r="O42" s="80"/>
      <c r="P42" s="119"/>
      <c r="Q42" s="252"/>
      <c r="R42" s="81">
        <f t="shared" si="1"/>
        <v>1.0485669999999998</v>
      </c>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row>
    <row r="43" spans="1:247" x14ac:dyDescent="0.35">
      <c r="A43" s="244">
        <v>1760</v>
      </c>
      <c r="B43" s="233" t="s">
        <v>2029</v>
      </c>
      <c r="C43" s="186" t="s">
        <v>504</v>
      </c>
      <c r="D43" s="245" t="s">
        <v>1993</v>
      </c>
      <c r="E43" s="119"/>
      <c r="F43" s="75">
        <f t="shared" si="0"/>
        <v>1.0209999999999999</v>
      </c>
      <c r="G43" s="252">
        <f t="shared" si="7"/>
        <v>1.0269999999999999</v>
      </c>
      <c r="H43" s="119"/>
      <c r="I43" s="234"/>
      <c r="J43" s="234"/>
      <c r="K43" s="234"/>
      <c r="L43" s="234"/>
      <c r="M43" s="234"/>
      <c r="N43" s="252"/>
      <c r="O43" s="80"/>
      <c r="P43" s="119"/>
      <c r="Q43" s="252"/>
      <c r="R43" s="81">
        <f t="shared" si="1"/>
        <v>1.0485669999999998</v>
      </c>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row>
    <row r="44" spans="1:247" x14ac:dyDescent="0.35">
      <c r="A44" s="244">
        <v>1761</v>
      </c>
      <c r="B44" s="233" t="s">
        <v>2030</v>
      </c>
      <c r="C44" s="186" t="s">
        <v>504</v>
      </c>
      <c r="D44" s="245" t="s">
        <v>1993</v>
      </c>
      <c r="E44" s="119"/>
      <c r="F44" s="75">
        <f t="shared" si="0"/>
        <v>1.0209999999999999</v>
      </c>
      <c r="G44" s="252">
        <f t="shared" si="7"/>
        <v>1.0269999999999999</v>
      </c>
      <c r="H44" s="119"/>
      <c r="I44" s="234"/>
      <c r="J44" s="234"/>
      <c r="K44" s="234"/>
      <c r="L44" s="234"/>
      <c r="M44" s="234"/>
      <c r="N44" s="252"/>
      <c r="O44" s="80"/>
      <c r="P44" s="119"/>
      <c r="Q44" s="252"/>
      <c r="R44" s="81">
        <f t="shared" si="1"/>
        <v>1.0485669999999998</v>
      </c>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row>
    <row r="45" spans="1:247" x14ac:dyDescent="0.35">
      <c r="A45" s="244">
        <v>1762</v>
      </c>
      <c r="B45" s="233" t="s">
        <v>2031</v>
      </c>
      <c r="C45" s="186" t="s">
        <v>576</v>
      </c>
      <c r="D45" s="245" t="s">
        <v>1993</v>
      </c>
      <c r="E45" s="119"/>
      <c r="F45" s="75">
        <f t="shared" si="0"/>
        <v>1.0209999999999999</v>
      </c>
      <c r="G45" s="252">
        <f t="shared" si="7"/>
        <v>1.0269999999999999</v>
      </c>
      <c r="H45" s="119"/>
      <c r="I45" s="234"/>
      <c r="J45" s="234"/>
      <c r="K45" s="234"/>
      <c r="L45" s="234"/>
      <c r="M45" s="234"/>
      <c r="N45" s="252"/>
      <c r="O45" s="80"/>
      <c r="P45" s="119"/>
      <c r="Q45" s="252"/>
      <c r="R45" s="81">
        <f t="shared" si="1"/>
        <v>1.0485669999999998</v>
      </c>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row>
    <row r="46" spans="1:247" x14ac:dyDescent="0.35">
      <c r="A46" s="244">
        <v>1763</v>
      </c>
      <c r="B46" s="233" t="s">
        <v>2032</v>
      </c>
      <c r="C46" s="186" t="s">
        <v>504</v>
      </c>
      <c r="D46" s="245" t="s">
        <v>1993</v>
      </c>
      <c r="E46" s="119"/>
      <c r="F46" s="75">
        <f t="shared" si="0"/>
        <v>1.0209999999999999</v>
      </c>
      <c r="G46" s="252">
        <f t="shared" si="7"/>
        <v>1.0269999999999999</v>
      </c>
      <c r="H46" s="119"/>
      <c r="I46" s="234"/>
      <c r="J46" s="234"/>
      <c r="K46" s="234"/>
      <c r="L46" s="234"/>
      <c r="M46" s="234"/>
      <c r="N46" s="252"/>
      <c r="O46" s="80"/>
      <c r="P46" s="119"/>
      <c r="Q46" s="252"/>
      <c r="R46" s="81">
        <f t="shared" si="1"/>
        <v>1.0485669999999998</v>
      </c>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row>
    <row r="47" spans="1:247" x14ac:dyDescent="0.35">
      <c r="A47" s="244">
        <v>1764</v>
      </c>
      <c r="B47" s="233" t="s">
        <v>2033</v>
      </c>
      <c r="C47" s="186" t="s">
        <v>576</v>
      </c>
      <c r="D47" s="245" t="s">
        <v>1993</v>
      </c>
      <c r="E47" s="119"/>
      <c r="F47" s="75">
        <f t="shared" si="0"/>
        <v>1.0209999999999999</v>
      </c>
      <c r="G47" s="252">
        <f t="shared" si="7"/>
        <v>1.0269999999999999</v>
      </c>
      <c r="H47" s="119"/>
      <c r="I47" s="234"/>
      <c r="J47" s="234"/>
      <c r="K47" s="234"/>
      <c r="L47" s="234"/>
      <c r="M47" s="234"/>
      <c r="N47" s="252"/>
      <c r="O47" s="80"/>
      <c r="P47" s="119"/>
      <c r="Q47" s="252"/>
      <c r="R47" s="81">
        <f t="shared" si="1"/>
        <v>1.0485669999999998</v>
      </c>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row>
    <row r="48" spans="1:247" x14ac:dyDescent="0.35">
      <c r="A48" s="244">
        <v>1765</v>
      </c>
      <c r="B48" s="233" t="s">
        <v>2034</v>
      </c>
      <c r="C48" s="186" t="s">
        <v>40</v>
      </c>
      <c r="D48" s="245" t="s">
        <v>1993</v>
      </c>
      <c r="E48" s="119"/>
      <c r="F48" s="75">
        <f t="shared" si="0"/>
        <v>1.0209999999999999</v>
      </c>
      <c r="G48" s="252">
        <f t="shared" si="7"/>
        <v>1.0269999999999999</v>
      </c>
      <c r="H48" s="119"/>
      <c r="I48" s="234"/>
      <c r="J48" s="234"/>
      <c r="K48" s="234"/>
      <c r="L48" s="234"/>
      <c r="M48" s="234"/>
      <c r="N48" s="252"/>
      <c r="O48" s="80"/>
      <c r="P48" s="119"/>
      <c r="Q48" s="252"/>
      <c r="R48" s="81">
        <f t="shared" si="1"/>
        <v>1.0485669999999998</v>
      </c>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row>
    <row r="49" spans="1:247" x14ac:dyDescent="0.35">
      <c r="A49" s="244">
        <v>1766</v>
      </c>
      <c r="B49" s="233" t="s">
        <v>2035</v>
      </c>
      <c r="C49" s="186" t="s">
        <v>40</v>
      </c>
      <c r="D49" s="245" t="s">
        <v>1993</v>
      </c>
      <c r="E49" s="119"/>
      <c r="F49" s="75">
        <f t="shared" si="0"/>
        <v>1.0209999999999999</v>
      </c>
      <c r="G49" s="252">
        <f t="shared" si="7"/>
        <v>1.0269999999999999</v>
      </c>
      <c r="H49" s="119"/>
      <c r="I49" s="234"/>
      <c r="J49" s="234"/>
      <c r="K49" s="234"/>
      <c r="L49" s="234"/>
      <c r="M49" s="234"/>
      <c r="N49" s="252"/>
      <c r="O49" s="80"/>
      <c r="P49" s="119"/>
      <c r="Q49" s="252"/>
      <c r="R49" s="81">
        <f t="shared" si="1"/>
        <v>1.0485669999999998</v>
      </c>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row>
    <row r="50" spans="1:247" x14ac:dyDescent="0.35">
      <c r="A50" s="244">
        <v>1767</v>
      </c>
      <c r="B50" s="233" t="s">
        <v>2036</v>
      </c>
      <c r="C50" s="186" t="s">
        <v>40</v>
      </c>
      <c r="D50" s="245" t="s">
        <v>1993</v>
      </c>
      <c r="E50" s="119"/>
      <c r="F50" s="75">
        <f t="shared" si="0"/>
        <v>1.0209999999999999</v>
      </c>
      <c r="G50" s="252">
        <f t="shared" si="7"/>
        <v>1.0269999999999999</v>
      </c>
      <c r="H50" s="119"/>
      <c r="I50" s="234"/>
      <c r="J50" s="234"/>
      <c r="K50" s="234"/>
      <c r="L50" s="234"/>
      <c r="M50" s="234"/>
      <c r="N50" s="252"/>
      <c r="O50" s="80"/>
      <c r="P50" s="119"/>
      <c r="Q50" s="252"/>
      <c r="R50" s="81">
        <f t="shared" si="1"/>
        <v>1.0485669999999998</v>
      </c>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row>
    <row r="51" spans="1:247" x14ac:dyDescent="0.35">
      <c r="A51" s="244">
        <v>1768</v>
      </c>
      <c r="B51" s="233" t="s">
        <v>2037</v>
      </c>
      <c r="C51" s="186" t="s">
        <v>40</v>
      </c>
      <c r="D51" s="245" t="s">
        <v>1993</v>
      </c>
      <c r="E51" s="119"/>
      <c r="F51" s="75">
        <f t="shared" si="0"/>
        <v>1.0209999999999999</v>
      </c>
      <c r="G51" s="252">
        <f t="shared" si="7"/>
        <v>1.0269999999999999</v>
      </c>
      <c r="H51" s="119"/>
      <c r="I51" s="234"/>
      <c r="J51" s="234"/>
      <c r="K51" s="234"/>
      <c r="L51" s="234"/>
      <c r="M51" s="234"/>
      <c r="N51" s="252"/>
      <c r="O51" s="80"/>
      <c r="P51" s="119"/>
      <c r="Q51" s="252"/>
      <c r="R51" s="81">
        <f t="shared" si="1"/>
        <v>1.0485669999999998</v>
      </c>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row>
    <row r="52" spans="1:247" x14ac:dyDescent="0.35">
      <c r="A52" s="244">
        <v>1769</v>
      </c>
      <c r="B52" s="233" t="s">
        <v>2038</v>
      </c>
      <c r="C52" s="186" t="s">
        <v>40</v>
      </c>
      <c r="D52" s="245" t="s">
        <v>1993</v>
      </c>
      <c r="E52" s="119"/>
      <c r="F52" s="75">
        <f t="shared" si="0"/>
        <v>1.0209999999999999</v>
      </c>
      <c r="G52" s="252">
        <f t="shared" si="7"/>
        <v>1.0269999999999999</v>
      </c>
      <c r="H52" s="119"/>
      <c r="I52" s="234"/>
      <c r="J52" s="234"/>
      <c r="K52" s="234"/>
      <c r="L52" s="234"/>
      <c r="M52" s="234"/>
      <c r="N52" s="252"/>
      <c r="O52" s="80"/>
      <c r="P52" s="119"/>
      <c r="Q52" s="252"/>
      <c r="R52" s="81">
        <f t="shared" si="1"/>
        <v>1.0485669999999998</v>
      </c>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row>
    <row r="53" spans="1:247" x14ac:dyDescent="0.35">
      <c r="A53" s="244">
        <v>1771</v>
      </c>
      <c r="B53" s="233" t="s">
        <v>2039</v>
      </c>
      <c r="C53" s="186" t="s">
        <v>576</v>
      </c>
      <c r="D53" s="245" t="s">
        <v>1993</v>
      </c>
      <c r="E53" s="119"/>
      <c r="F53" s="75">
        <f t="shared" si="0"/>
        <v>1.0209999999999999</v>
      </c>
      <c r="G53" s="252">
        <f t="shared" si="7"/>
        <v>1.0269999999999999</v>
      </c>
      <c r="H53" s="119"/>
      <c r="I53" s="234"/>
      <c r="J53" s="234"/>
      <c r="K53" s="234"/>
      <c r="L53" s="234"/>
      <c r="M53" s="234"/>
      <c r="N53" s="252"/>
      <c r="O53" s="80"/>
      <c r="P53" s="119">
        <f>+$P$3</f>
        <v>1.032</v>
      </c>
      <c r="Q53" s="252"/>
      <c r="R53" s="81">
        <f t="shared" si="1"/>
        <v>1.0821211439999998</v>
      </c>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row>
    <row r="54" spans="1:247" x14ac:dyDescent="0.35">
      <c r="A54" s="244">
        <v>1772</v>
      </c>
      <c r="B54" s="233" t="s">
        <v>2040</v>
      </c>
      <c r="C54" s="186" t="s">
        <v>40</v>
      </c>
      <c r="D54" s="245" t="s">
        <v>1993</v>
      </c>
      <c r="E54" s="119"/>
      <c r="F54" s="75">
        <f t="shared" si="0"/>
        <v>1.0209999999999999</v>
      </c>
      <c r="G54" s="252">
        <f t="shared" si="7"/>
        <v>1.0269999999999999</v>
      </c>
      <c r="H54" s="119"/>
      <c r="I54" s="234"/>
      <c r="J54" s="234"/>
      <c r="K54" s="234"/>
      <c r="L54" s="234"/>
      <c r="M54" s="234"/>
      <c r="N54" s="252"/>
      <c r="O54" s="80"/>
      <c r="P54" s="119">
        <f>+$P$3</f>
        <v>1.032</v>
      </c>
      <c r="Q54" s="252"/>
      <c r="R54" s="81">
        <f t="shared" si="1"/>
        <v>1.0821211439999998</v>
      </c>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row>
    <row r="55" spans="1:247" x14ac:dyDescent="0.35">
      <c r="A55" s="244">
        <v>1773</v>
      </c>
      <c r="B55" s="233" t="s">
        <v>2041</v>
      </c>
      <c r="C55" s="186" t="s">
        <v>576</v>
      </c>
      <c r="D55" s="245" t="s">
        <v>1993</v>
      </c>
      <c r="E55" s="119"/>
      <c r="F55" s="75">
        <f t="shared" si="0"/>
        <v>1.0209999999999999</v>
      </c>
      <c r="G55" s="252">
        <f t="shared" si="7"/>
        <v>1.0269999999999999</v>
      </c>
      <c r="H55" s="119"/>
      <c r="I55" s="234"/>
      <c r="J55" s="234"/>
      <c r="K55" s="234"/>
      <c r="L55" s="234"/>
      <c r="M55" s="234"/>
      <c r="N55" s="252"/>
      <c r="O55" s="80"/>
      <c r="P55" s="119"/>
      <c r="Q55" s="252"/>
      <c r="R55" s="81">
        <f t="shared" si="1"/>
        <v>1.0485669999999998</v>
      </c>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row>
    <row r="56" spans="1:247" x14ac:dyDescent="0.35">
      <c r="A56" s="244">
        <v>1774</v>
      </c>
      <c r="B56" s="233" t="s">
        <v>2042</v>
      </c>
      <c r="C56" s="186" t="s">
        <v>40</v>
      </c>
      <c r="D56" s="245" t="s">
        <v>1993</v>
      </c>
      <c r="E56" s="119"/>
      <c r="F56" s="75">
        <f t="shared" si="0"/>
        <v>1.0209999999999999</v>
      </c>
      <c r="G56" s="252">
        <f t="shared" si="7"/>
        <v>1.0269999999999999</v>
      </c>
      <c r="H56" s="119"/>
      <c r="I56" s="234"/>
      <c r="J56" s="234"/>
      <c r="K56" s="234"/>
      <c r="L56" s="234"/>
      <c r="M56" s="234"/>
      <c r="N56" s="252"/>
      <c r="O56" s="80"/>
      <c r="P56" s="119"/>
      <c r="Q56" s="252"/>
      <c r="R56" s="81">
        <f t="shared" si="1"/>
        <v>1.0485669999999998</v>
      </c>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row>
    <row r="57" spans="1:247" x14ac:dyDescent="0.35">
      <c r="A57" s="244">
        <v>1775</v>
      </c>
      <c r="B57" s="233" t="s">
        <v>2043</v>
      </c>
      <c r="C57" s="186" t="s">
        <v>40</v>
      </c>
      <c r="D57" s="245" t="s">
        <v>1993</v>
      </c>
      <c r="E57" s="119"/>
      <c r="F57" s="75">
        <f t="shared" si="0"/>
        <v>1.0209999999999999</v>
      </c>
      <c r="G57" s="252">
        <f t="shared" si="7"/>
        <v>1.0269999999999999</v>
      </c>
      <c r="H57" s="119"/>
      <c r="I57" s="234"/>
      <c r="J57" s="234"/>
      <c r="K57" s="234"/>
      <c r="L57" s="234"/>
      <c r="M57" s="234"/>
      <c r="N57" s="252"/>
      <c r="O57" s="80"/>
      <c r="P57" s="119"/>
      <c r="Q57" s="252"/>
      <c r="R57" s="81">
        <f t="shared" si="1"/>
        <v>1.0485669999999998</v>
      </c>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row>
    <row r="58" spans="1:247" x14ac:dyDescent="0.35">
      <c r="A58" s="244">
        <v>1776</v>
      </c>
      <c r="B58" s="233" t="s">
        <v>2044</v>
      </c>
      <c r="C58" s="186" t="s">
        <v>40</v>
      </c>
      <c r="D58" s="245" t="s">
        <v>1993</v>
      </c>
      <c r="E58" s="119"/>
      <c r="F58" s="75">
        <f t="shared" si="0"/>
        <v>1.0209999999999999</v>
      </c>
      <c r="G58" s="252">
        <f t="shared" si="7"/>
        <v>1.0269999999999999</v>
      </c>
      <c r="H58" s="119"/>
      <c r="I58" s="234"/>
      <c r="J58" s="234"/>
      <c r="K58" s="234"/>
      <c r="L58" s="234"/>
      <c r="M58" s="234"/>
      <c r="N58" s="252"/>
      <c r="O58" s="80"/>
      <c r="P58" s="119">
        <f>+$P$3</f>
        <v>1.032</v>
      </c>
      <c r="Q58" s="252"/>
      <c r="R58" s="81">
        <f t="shared" si="1"/>
        <v>1.0821211439999998</v>
      </c>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row>
    <row r="59" spans="1:247" x14ac:dyDescent="0.35">
      <c r="A59" s="244">
        <v>1777</v>
      </c>
      <c r="B59" s="233" t="s">
        <v>2045</v>
      </c>
      <c r="C59" s="186" t="s">
        <v>504</v>
      </c>
      <c r="D59" s="245" t="s">
        <v>1993</v>
      </c>
      <c r="E59" s="119"/>
      <c r="F59" s="75">
        <f t="shared" si="0"/>
        <v>1.0209999999999999</v>
      </c>
      <c r="G59" s="252">
        <f t="shared" si="7"/>
        <v>1.0269999999999999</v>
      </c>
      <c r="H59" s="119"/>
      <c r="I59" s="234"/>
      <c r="J59" s="234"/>
      <c r="K59" s="234"/>
      <c r="L59" s="234"/>
      <c r="M59" s="234"/>
      <c r="N59" s="252"/>
      <c r="O59" s="80"/>
      <c r="P59" s="119"/>
      <c r="Q59" s="252"/>
      <c r="R59" s="81">
        <f t="shared" si="1"/>
        <v>1.0485669999999998</v>
      </c>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row>
    <row r="60" spans="1:247" x14ac:dyDescent="0.35">
      <c r="A60" s="244">
        <v>1781</v>
      </c>
      <c r="B60" s="233" t="s">
        <v>2046</v>
      </c>
      <c r="C60" s="186" t="s">
        <v>504</v>
      </c>
      <c r="D60" s="245" t="s">
        <v>1993</v>
      </c>
      <c r="E60" s="119"/>
      <c r="F60" s="75">
        <f t="shared" si="0"/>
        <v>1.0209999999999999</v>
      </c>
      <c r="G60" s="252">
        <f t="shared" si="7"/>
        <v>1.0269999999999999</v>
      </c>
      <c r="H60" s="119"/>
      <c r="I60" s="234"/>
      <c r="J60" s="234"/>
      <c r="K60" s="234"/>
      <c r="L60" s="234"/>
      <c r="M60" s="234"/>
      <c r="N60" s="252"/>
      <c r="O60" s="80"/>
      <c r="P60" s="119"/>
      <c r="Q60" s="252"/>
      <c r="R60" s="81">
        <f t="shared" si="1"/>
        <v>1.0485669999999998</v>
      </c>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row>
    <row r="61" spans="1:247" x14ac:dyDescent="0.35">
      <c r="A61" s="244">
        <v>1782</v>
      </c>
      <c r="B61" s="233" t="s">
        <v>2047</v>
      </c>
      <c r="C61" s="186" t="s">
        <v>504</v>
      </c>
      <c r="D61" s="245" t="s">
        <v>1993</v>
      </c>
      <c r="E61" s="119"/>
      <c r="F61" s="75">
        <f t="shared" si="0"/>
        <v>1.0209999999999999</v>
      </c>
      <c r="G61" s="252">
        <f t="shared" si="7"/>
        <v>1.0269999999999999</v>
      </c>
      <c r="H61" s="119"/>
      <c r="I61" s="234"/>
      <c r="J61" s="234"/>
      <c r="K61" s="234"/>
      <c r="L61" s="234"/>
      <c r="M61" s="234"/>
      <c r="N61" s="252"/>
      <c r="O61" s="80"/>
      <c r="P61" s="119"/>
      <c r="Q61" s="252"/>
      <c r="R61" s="81">
        <f t="shared" si="1"/>
        <v>1.0485669999999998</v>
      </c>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row>
    <row r="62" spans="1:247" x14ac:dyDescent="0.35">
      <c r="A62" s="244">
        <v>1783</v>
      </c>
      <c r="B62" s="233" t="s">
        <v>2048</v>
      </c>
      <c r="C62" s="186" t="s">
        <v>504</v>
      </c>
      <c r="D62" s="245" t="s">
        <v>1993</v>
      </c>
      <c r="E62" s="119"/>
      <c r="F62" s="75">
        <f t="shared" si="0"/>
        <v>1.0209999999999999</v>
      </c>
      <c r="G62" s="252">
        <f t="shared" si="7"/>
        <v>1.0269999999999999</v>
      </c>
      <c r="H62" s="119"/>
      <c r="I62" s="234"/>
      <c r="J62" s="234"/>
      <c r="K62" s="234"/>
      <c r="L62" s="234"/>
      <c r="M62" s="234"/>
      <c r="N62" s="252"/>
      <c r="O62" s="80"/>
      <c r="P62" s="119"/>
      <c r="Q62" s="252"/>
      <c r="R62" s="81">
        <f t="shared" si="1"/>
        <v>1.0485669999999998</v>
      </c>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row>
    <row r="63" spans="1:247" x14ac:dyDescent="0.35">
      <c r="A63" s="244">
        <v>1790</v>
      </c>
      <c r="B63" s="233" t="s">
        <v>2049</v>
      </c>
      <c r="C63" s="186" t="s">
        <v>40</v>
      </c>
      <c r="D63" s="245" t="s">
        <v>1993</v>
      </c>
      <c r="E63" s="119"/>
      <c r="F63" s="75">
        <f t="shared" si="0"/>
        <v>1.0209999999999999</v>
      </c>
      <c r="G63" s="252">
        <f t="shared" si="7"/>
        <v>1.0269999999999999</v>
      </c>
      <c r="H63" s="119"/>
      <c r="I63" s="234"/>
      <c r="J63" s="234"/>
      <c r="K63" s="234"/>
      <c r="L63" s="234"/>
      <c r="M63" s="234"/>
      <c r="N63" s="252"/>
      <c r="O63" s="80"/>
      <c r="P63" s="119"/>
      <c r="Q63" s="252"/>
      <c r="R63" s="81">
        <f t="shared" si="1"/>
        <v>1.0485669999999998</v>
      </c>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row>
    <row r="64" spans="1:247" x14ac:dyDescent="0.35">
      <c r="A64" s="244">
        <v>1791</v>
      </c>
      <c r="B64" s="233" t="s">
        <v>2050</v>
      </c>
      <c r="C64" s="186" t="s">
        <v>40</v>
      </c>
      <c r="D64" s="245" t="s">
        <v>1993</v>
      </c>
      <c r="E64" s="119"/>
      <c r="F64" s="75">
        <f t="shared" si="0"/>
        <v>1.0209999999999999</v>
      </c>
      <c r="G64" s="252">
        <f t="shared" si="7"/>
        <v>1.0269999999999999</v>
      </c>
      <c r="H64" s="119"/>
      <c r="I64" s="234"/>
      <c r="J64" s="234"/>
      <c r="K64" s="234"/>
      <c r="L64" s="234"/>
      <c r="M64" s="234"/>
      <c r="N64" s="252"/>
      <c r="O64" s="80"/>
      <c r="P64" s="119"/>
      <c r="Q64" s="252"/>
      <c r="R64" s="81">
        <f t="shared" si="1"/>
        <v>1.0485669999999998</v>
      </c>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row>
    <row r="65" spans="1:247" x14ac:dyDescent="0.35">
      <c r="A65" s="244">
        <v>1792</v>
      </c>
      <c r="B65" s="233" t="s">
        <v>2051</v>
      </c>
      <c r="C65" s="186" t="s">
        <v>40</v>
      </c>
      <c r="D65" s="245" t="s">
        <v>1993</v>
      </c>
      <c r="E65" s="119"/>
      <c r="F65" s="75">
        <f t="shared" si="0"/>
        <v>1.0209999999999999</v>
      </c>
      <c r="G65" s="252">
        <f t="shared" si="7"/>
        <v>1.0269999999999999</v>
      </c>
      <c r="H65" s="119"/>
      <c r="I65" s="234"/>
      <c r="J65" s="234"/>
      <c r="K65" s="234"/>
      <c r="L65" s="234"/>
      <c r="M65" s="234"/>
      <c r="N65" s="252"/>
      <c r="O65" s="80"/>
      <c r="P65" s="119">
        <f>+$P$3</f>
        <v>1.032</v>
      </c>
      <c r="Q65" s="252"/>
      <c r="R65" s="81">
        <f t="shared" si="1"/>
        <v>1.0821211439999998</v>
      </c>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row>
    <row r="66" spans="1:247" x14ac:dyDescent="0.35">
      <c r="A66" s="244">
        <v>1793</v>
      </c>
      <c r="B66" s="233" t="s">
        <v>2052</v>
      </c>
      <c r="C66" s="186" t="s">
        <v>40</v>
      </c>
      <c r="D66" s="245" t="s">
        <v>1993</v>
      </c>
      <c r="E66" s="119"/>
      <c r="F66" s="75">
        <f t="shared" si="0"/>
        <v>1.0209999999999999</v>
      </c>
      <c r="G66" s="252">
        <f t="shared" si="7"/>
        <v>1.0269999999999999</v>
      </c>
      <c r="H66" s="119"/>
      <c r="I66" s="234"/>
      <c r="J66" s="234"/>
      <c r="K66" s="234"/>
      <c r="L66" s="234"/>
      <c r="M66" s="234"/>
      <c r="N66" s="252"/>
      <c r="O66" s="80"/>
      <c r="P66" s="119"/>
      <c r="Q66" s="252"/>
      <c r="R66" s="81">
        <f t="shared" si="1"/>
        <v>1.0485669999999998</v>
      </c>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row>
    <row r="67" spans="1:247" x14ac:dyDescent="0.35">
      <c r="A67" s="244">
        <v>1794</v>
      </c>
      <c r="B67" s="233" t="s">
        <v>2053</v>
      </c>
      <c r="C67" s="186" t="s">
        <v>504</v>
      </c>
      <c r="D67" s="245" t="s">
        <v>1993</v>
      </c>
      <c r="E67" s="119"/>
      <c r="F67" s="75">
        <f t="shared" si="0"/>
        <v>1.0209999999999999</v>
      </c>
      <c r="G67" s="252">
        <f t="shared" si="7"/>
        <v>1.0269999999999999</v>
      </c>
      <c r="H67" s="119"/>
      <c r="I67" s="234"/>
      <c r="J67" s="234"/>
      <c r="K67" s="234"/>
      <c r="L67" s="234"/>
      <c r="M67" s="234"/>
      <c r="N67" s="252"/>
      <c r="O67" s="80"/>
      <c r="P67" s="119"/>
      <c r="Q67" s="252"/>
      <c r="R67" s="81">
        <f t="shared" si="1"/>
        <v>1.0485669999999998</v>
      </c>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row>
    <row r="68" spans="1:247" x14ac:dyDescent="0.35">
      <c r="A68" s="244">
        <v>1795</v>
      </c>
      <c r="B68" s="233" t="s">
        <v>2054</v>
      </c>
      <c r="C68" s="186" t="s">
        <v>108</v>
      </c>
      <c r="D68" s="245" t="s">
        <v>1993</v>
      </c>
      <c r="E68" s="119"/>
      <c r="F68" s="75">
        <f t="shared" si="0"/>
        <v>1.0209999999999999</v>
      </c>
      <c r="G68" s="252">
        <f t="shared" si="7"/>
        <v>1.0269999999999999</v>
      </c>
      <c r="H68" s="119"/>
      <c r="I68" s="234"/>
      <c r="J68" s="234"/>
      <c r="K68" s="234"/>
      <c r="L68" s="234"/>
      <c r="M68" s="234"/>
      <c r="N68" s="252"/>
      <c r="O68" s="80"/>
      <c r="P68" s="119">
        <f>+$P$3</f>
        <v>1.032</v>
      </c>
      <c r="Q68" s="252"/>
      <c r="R68" s="81">
        <f t="shared" si="1"/>
        <v>1.0821211439999998</v>
      </c>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row>
    <row r="69" spans="1:247" x14ac:dyDescent="0.35">
      <c r="A69" s="244">
        <v>1796</v>
      </c>
      <c r="B69" s="233" t="s">
        <v>2055</v>
      </c>
      <c r="C69" s="186" t="s">
        <v>108</v>
      </c>
      <c r="D69" s="245" t="s">
        <v>1993</v>
      </c>
      <c r="E69" s="119"/>
      <c r="F69" s="75">
        <v>1.0209999999999999</v>
      </c>
      <c r="G69" s="252">
        <v>1.0269999999999999</v>
      </c>
      <c r="H69" s="119"/>
      <c r="I69" s="234"/>
      <c r="J69" s="234"/>
      <c r="K69" s="234"/>
      <c r="L69" s="234"/>
      <c r="M69" s="234"/>
      <c r="N69" s="252"/>
      <c r="O69" s="80"/>
      <c r="P69" s="119">
        <f>+$P$3</f>
        <v>1.032</v>
      </c>
      <c r="Q69" s="252"/>
      <c r="R69" s="81">
        <f t="shared" si="1"/>
        <v>1.0821211439999998</v>
      </c>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row>
    <row r="70" spans="1:247" x14ac:dyDescent="0.35">
      <c r="A70" s="244">
        <v>1797</v>
      </c>
      <c r="B70" s="233" t="s">
        <v>2056</v>
      </c>
      <c r="C70" s="186" t="s">
        <v>504</v>
      </c>
      <c r="D70" s="245" t="s">
        <v>1993</v>
      </c>
      <c r="E70" s="119"/>
      <c r="F70" s="75">
        <v>1.0209999999999999</v>
      </c>
      <c r="G70" s="252">
        <v>1.0269999999999999</v>
      </c>
      <c r="H70" s="119"/>
      <c r="I70" s="234"/>
      <c r="J70" s="234"/>
      <c r="K70" s="234"/>
      <c r="L70" s="234"/>
      <c r="M70" s="234"/>
      <c r="N70" s="252"/>
      <c r="O70" s="80"/>
      <c r="P70" s="119"/>
      <c r="Q70" s="252"/>
      <c r="R70" s="81">
        <f t="shared" si="1"/>
        <v>1.0485669999999998</v>
      </c>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row>
    <row r="71" spans="1:247" x14ac:dyDescent="0.35">
      <c r="A71" s="244">
        <v>1798</v>
      </c>
      <c r="B71" s="233" t="s">
        <v>2057</v>
      </c>
      <c r="C71" s="186" t="s">
        <v>40</v>
      </c>
      <c r="D71" s="245" t="s">
        <v>1993</v>
      </c>
      <c r="E71" s="119"/>
      <c r="F71" s="75">
        <v>1.0209999999999999</v>
      </c>
      <c r="G71" s="252">
        <v>1.0269999999999999</v>
      </c>
      <c r="H71" s="119"/>
      <c r="I71" s="234"/>
      <c r="J71" s="234"/>
      <c r="K71" s="234"/>
      <c r="L71" s="234"/>
      <c r="M71" s="234"/>
      <c r="N71" s="252"/>
      <c r="O71" s="80"/>
      <c r="P71" s="119"/>
      <c r="Q71" s="252"/>
      <c r="R71" s="81">
        <f t="shared" si="1"/>
        <v>1.0485669999999998</v>
      </c>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row>
    <row r="72" spans="1:247" x14ac:dyDescent="0.35">
      <c r="A72" s="244">
        <v>1799</v>
      </c>
      <c r="B72" s="233" t="s">
        <v>2058</v>
      </c>
      <c r="C72" s="186" t="s">
        <v>40</v>
      </c>
      <c r="D72" s="245" t="s">
        <v>1993</v>
      </c>
      <c r="E72" s="119"/>
      <c r="F72" s="75">
        <v>1.0209999999999999</v>
      </c>
      <c r="G72" s="252">
        <v>1.0269999999999999</v>
      </c>
      <c r="H72" s="119"/>
      <c r="I72" s="234"/>
      <c r="J72" s="234"/>
      <c r="K72" s="234"/>
      <c r="L72" s="234"/>
      <c r="M72" s="234"/>
      <c r="N72" s="252"/>
      <c r="O72" s="80"/>
      <c r="P72" s="119"/>
      <c r="Q72" s="252"/>
      <c r="R72" s="81">
        <f t="shared" si="1"/>
        <v>1.0485669999999998</v>
      </c>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row>
    <row r="73" spans="1:247" x14ac:dyDescent="0.35">
      <c r="A73" s="244">
        <v>2112</v>
      </c>
      <c r="B73" s="233" t="s">
        <v>2059</v>
      </c>
      <c r="C73" s="186" t="s">
        <v>108</v>
      </c>
      <c r="D73" s="245" t="s">
        <v>2001</v>
      </c>
      <c r="E73" s="119"/>
      <c r="F73" s="75">
        <f t="shared" si="0"/>
        <v>1.0209999999999999</v>
      </c>
      <c r="G73" s="252">
        <f t="shared" ref="G73:G97" si="8">+$G$3</f>
        <v>1.0269999999999999</v>
      </c>
      <c r="H73" s="119">
        <f>+$H$3</f>
        <v>1.0029999999999999</v>
      </c>
      <c r="I73" s="234">
        <f>+$I$3</f>
        <v>1.0289999999999999</v>
      </c>
      <c r="J73" s="234">
        <f>+$J$3</f>
        <v>1.0049999999999999</v>
      </c>
      <c r="K73" s="234"/>
      <c r="L73" s="234"/>
      <c r="M73" s="234">
        <f>+$M$3</f>
        <v>1.0029999999999999</v>
      </c>
      <c r="N73" s="252">
        <f t="shared" ref="N73:N93" si="9">+$N$3</f>
        <v>1.0029999999999999</v>
      </c>
      <c r="O73" s="80">
        <f>+$O$3</f>
        <v>1.0209999999999999</v>
      </c>
      <c r="P73" s="119">
        <f t="shared" ref="P73:P87" si="10">+$P$3</f>
        <v>1.032</v>
      </c>
      <c r="Q73" s="252">
        <f t="shared" ref="Q73:Q87" si="11">+$Q$3</f>
        <v>1.0349999999999999</v>
      </c>
      <c r="R73" s="81">
        <f t="shared" si="1"/>
        <v>1.1932356231980656</v>
      </c>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row>
    <row r="74" spans="1:247" x14ac:dyDescent="0.35">
      <c r="A74" s="244">
        <v>2121</v>
      </c>
      <c r="B74" s="233" t="s">
        <v>2060</v>
      </c>
      <c r="C74" s="186" t="s">
        <v>108</v>
      </c>
      <c r="D74" s="245" t="s">
        <v>2001</v>
      </c>
      <c r="E74" s="119"/>
      <c r="F74" s="75">
        <f t="shared" si="0"/>
        <v>1.0209999999999999</v>
      </c>
      <c r="G74" s="252">
        <f t="shared" si="8"/>
        <v>1.0269999999999999</v>
      </c>
      <c r="H74" s="119">
        <f>+$H$3</f>
        <v>1.0029999999999999</v>
      </c>
      <c r="I74" s="234">
        <f>+$I$3</f>
        <v>1.0289999999999999</v>
      </c>
      <c r="J74" s="234">
        <f>+$J$3</f>
        <v>1.0049999999999999</v>
      </c>
      <c r="K74" s="234"/>
      <c r="L74" s="234"/>
      <c r="M74" s="234">
        <f>+$M$3</f>
        <v>1.0029999999999999</v>
      </c>
      <c r="N74" s="252">
        <f t="shared" si="9"/>
        <v>1.0029999999999999</v>
      </c>
      <c r="O74" s="80">
        <f>+$O$3</f>
        <v>1.0209999999999999</v>
      </c>
      <c r="P74" s="119">
        <f t="shared" si="10"/>
        <v>1.032</v>
      </c>
      <c r="Q74" s="252">
        <f t="shared" si="11"/>
        <v>1.0349999999999999</v>
      </c>
      <c r="R74" s="81">
        <f t="shared" si="1"/>
        <v>1.1932356231980656</v>
      </c>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row>
    <row r="75" spans="1:247" x14ac:dyDescent="0.35">
      <c r="A75" s="244">
        <v>2123</v>
      </c>
      <c r="B75" s="233" t="s">
        <v>2061</v>
      </c>
      <c r="C75" s="186" t="s">
        <v>108</v>
      </c>
      <c r="D75" s="245" t="s">
        <v>2001</v>
      </c>
      <c r="E75" s="119"/>
      <c r="F75" s="75">
        <f t="shared" si="0"/>
        <v>1.0209999999999999</v>
      </c>
      <c r="G75" s="252">
        <f t="shared" si="8"/>
        <v>1.0269999999999999</v>
      </c>
      <c r="H75" s="119">
        <f>+$H$3</f>
        <v>1.0029999999999999</v>
      </c>
      <c r="I75" s="234">
        <f>+$I$3</f>
        <v>1.0289999999999999</v>
      </c>
      <c r="J75" s="234">
        <f>+$J$3</f>
        <v>1.0049999999999999</v>
      </c>
      <c r="K75" s="234"/>
      <c r="L75" s="234"/>
      <c r="M75" s="234">
        <f>+$M$3</f>
        <v>1.0029999999999999</v>
      </c>
      <c r="N75" s="252">
        <f t="shared" si="9"/>
        <v>1.0029999999999999</v>
      </c>
      <c r="O75" s="80">
        <f>+$O$3</f>
        <v>1.0209999999999999</v>
      </c>
      <c r="P75" s="119">
        <f t="shared" si="10"/>
        <v>1.032</v>
      </c>
      <c r="Q75" s="252">
        <f t="shared" si="11"/>
        <v>1.0349999999999999</v>
      </c>
      <c r="R75" s="81">
        <f>PRODUCT(E75:Q75)</f>
        <v>1.1932356231980656</v>
      </c>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row>
    <row r="76" spans="1:247" x14ac:dyDescent="0.35">
      <c r="A76" s="244">
        <v>2124</v>
      </c>
      <c r="B76" s="233" t="s">
        <v>2062</v>
      </c>
      <c r="C76" s="186" t="s">
        <v>40</v>
      </c>
      <c r="D76" s="245" t="s">
        <v>1993</v>
      </c>
      <c r="E76" s="119"/>
      <c r="F76" s="75">
        <f t="shared" si="0"/>
        <v>1.0209999999999999</v>
      </c>
      <c r="G76" s="252">
        <f t="shared" si="8"/>
        <v>1.0269999999999999</v>
      </c>
      <c r="H76" s="119"/>
      <c r="I76" s="234"/>
      <c r="J76" s="234"/>
      <c r="K76" s="234"/>
      <c r="L76" s="234"/>
      <c r="M76" s="234"/>
      <c r="N76" s="252">
        <f t="shared" si="9"/>
        <v>1.0029999999999999</v>
      </c>
      <c r="O76" s="80"/>
      <c r="P76" s="119">
        <f t="shared" si="10"/>
        <v>1.032</v>
      </c>
      <c r="Q76" s="252">
        <f t="shared" si="11"/>
        <v>1.0349999999999999</v>
      </c>
      <c r="R76" s="81">
        <f t="shared" si="1"/>
        <v>1.1233553701921195</v>
      </c>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row>
    <row r="77" spans="1:247" x14ac:dyDescent="0.35">
      <c r="A77" s="244">
        <v>2125</v>
      </c>
      <c r="B77" s="233" t="s">
        <v>2063</v>
      </c>
      <c r="C77" s="186" t="s">
        <v>108</v>
      </c>
      <c r="D77" s="245" t="s">
        <v>2001</v>
      </c>
      <c r="E77" s="119"/>
      <c r="F77" s="75">
        <f t="shared" si="0"/>
        <v>1.0209999999999999</v>
      </c>
      <c r="G77" s="252">
        <f t="shared" si="8"/>
        <v>1.0269999999999999</v>
      </c>
      <c r="H77" s="119">
        <f>+$H$3</f>
        <v>1.0029999999999999</v>
      </c>
      <c r="I77" s="234">
        <f>+$I$3</f>
        <v>1.0289999999999999</v>
      </c>
      <c r="J77" s="234">
        <f t="shared" ref="J77:J87" si="12">+$J$3</f>
        <v>1.0049999999999999</v>
      </c>
      <c r="K77" s="234"/>
      <c r="L77" s="234"/>
      <c r="M77" s="234">
        <f>+$M$3</f>
        <v>1.0029999999999999</v>
      </c>
      <c r="N77" s="252">
        <f t="shared" si="9"/>
        <v>1.0029999999999999</v>
      </c>
      <c r="O77" s="80">
        <f>+$O$3</f>
        <v>1.0209999999999999</v>
      </c>
      <c r="P77" s="119">
        <f t="shared" si="10"/>
        <v>1.032</v>
      </c>
      <c r="Q77" s="252">
        <f t="shared" si="11"/>
        <v>1.0349999999999999</v>
      </c>
      <c r="R77" s="81">
        <f t="shared" si="1"/>
        <v>1.1932356231980656</v>
      </c>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row>
    <row r="78" spans="1:247" x14ac:dyDescent="0.35">
      <c r="A78" s="244">
        <v>2126</v>
      </c>
      <c r="B78" s="233" t="s">
        <v>2064</v>
      </c>
      <c r="C78" s="186" t="s">
        <v>108</v>
      </c>
      <c r="D78" s="245" t="s">
        <v>2001</v>
      </c>
      <c r="E78" s="119"/>
      <c r="F78" s="75">
        <f t="shared" si="0"/>
        <v>1.0209999999999999</v>
      </c>
      <c r="G78" s="252">
        <f t="shared" si="8"/>
        <v>1.0269999999999999</v>
      </c>
      <c r="H78" s="119">
        <f>+$H$3</f>
        <v>1.0029999999999999</v>
      </c>
      <c r="I78" s="234">
        <f>+$I$3</f>
        <v>1.0289999999999999</v>
      </c>
      <c r="J78" s="234">
        <f t="shared" si="12"/>
        <v>1.0049999999999999</v>
      </c>
      <c r="K78" s="234"/>
      <c r="L78" s="234"/>
      <c r="M78" s="234">
        <f>+$M$3</f>
        <v>1.0029999999999999</v>
      </c>
      <c r="N78" s="252">
        <f t="shared" si="9"/>
        <v>1.0029999999999999</v>
      </c>
      <c r="O78" s="80">
        <f>+$O$3</f>
        <v>1.0209999999999999</v>
      </c>
      <c r="P78" s="119">
        <f t="shared" si="10"/>
        <v>1.032</v>
      </c>
      <c r="Q78" s="252">
        <f t="shared" si="11"/>
        <v>1.0349999999999999</v>
      </c>
      <c r="R78" s="81">
        <f>PRODUCT(E78:Q78)</f>
        <v>1.1932356231980656</v>
      </c>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row>
    <row r="79" spans="1:247" x14ac:dyDescent="0.35">
      <c r="A79" s="244">
        <v>2131</v>
      </c>
      <c r="B79" s="233" t="s">
        <v>2065</v>
      </c>
      <c r="C79" s="186" t="s">
        <v>108</v>
      </c>
      <c r="D79" s="245" t="s">
        <v>1993</v>
      </c>
      <c r="E79" s="119"/>
      <c r="F79" s="75">
        <f t="shared" si="0"/>
        <v>1.0209999999999999</v>
      </c>
      <c r="G79" s="252">
        <f t="shared" si="8"/>
        <v>1.0269999999999999</v>
      </c>
      <c r="H79" s="119">
        <f>+$H$3</f>
        <v>1.0029999999999999</v>
      </c>
      <c r="I79" s="234"/>
      <c r="J79" s="234"/>
      <c r="K79" s="234"/>
      <c r="L79" s="234"/>
      <c r="M79" s="234"/>
      <c r="N79" s="252">
        <f t="shared" si="9"/>
        <v>1.0029999999999999</v>
      </c>
      <c r="O79" s="80">
        <f>+$O$3</f>
        <v>1.0209999999999999</v>
      </c>
      <c r="P79" s="119">
        <f t="shared" si="10"/>
        <v>1.032</v>
      </c>
      <c r="Q79" s="252">
        <f t="shared" si="11"/>
        <v>1.0349999999999999</v>
      </c>
      <c r="R79" s="81">
        <f>PRODUCT(E79:Q79)</f>
        <v>1.1503866704650523</v>
      </c>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row>
    <row r="80" spans="1:247" x14ac:dyDescent="0.35">
      <c r="A80" s="244">
        <v>2134</v>
      </c>
      <c r="B80" s="233" t="s">
        <v>2066</v>
      </c>
      <c r="C80" s="186" t="s">
        <v>108</v>
      </c>
      <c r="D80" s="245" t="s">
        <v>2001</v>
      </c>
      <c r="E80" s="119"/>
      <c r="F80" s="75">
        <f t="shared" si="0"/>
        <v>1.0209999999999999</v>
      </c>
      <c r="G80" s="252">
        <f t="shared" si="8"/>
        <v>1.0269999999999999</v>
      </c>
      <c r="H80" s="119"/>
      <c r="I80" s="234"/>
      <c r="J80" s="234">
        <f t="shared" si="12"/>
        <v>1.0049999999999999</v>
      </c>
      <c r="K80" s="234"/>
      <c r="L80" s="234"/>
      <c r="M80" s="234"/>
      <c r="N80" s="252">
        <f t="shared" si="9"/>
        <v>1.0029999999999999</v>
      </c>
      <c r="O80" s="80"/>
      <c r="P80" s="119">
        <f t="shared" si="10"/>
        <v>1.032</v>
      </c>
      <c r="Q80" s="252">
        <f t="shared" si="11"/>
        <v>1.0349999999999999</v>
      </c>
      <c r="R80" s="81">
        <f t="shared" si="1"/>
        <v>1.12897214704308</v>
      </c>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row>
    <row r="81" spans="1:247" x14ac:dyDescent="0.35">
      <c r="A81" s="244">
        <v>2152</v>
      </c>
      <c r="B81" s="233" t="s">
        <v>2067</v>
      </c>
      <c r="C81" s="186" t="s">
        <v>108</v>
      </c>
      <c r="D81" s="245" t="s">
        <v>2001</v>
      </c>
      <c r="E81" s="119"/>
      <c r="F81" s="75">
        <f t="shared" si="0"/>
        <v>1.0209999999999999</v>
      </c>
      <c r="G81" s="252">
        <f t="shared" si="8"/>
        <v>1.0269999999999999</v>
      </c>
      <c r="H81" s="119">
        <f>+$H$3</f>
        <v>1.0029999999999999</v>
      </c>
      <c r="I81" s="234">
        <f>+$I$3</f>
        <v>1.0289999999999999</v>
      </c>
      <c r="J81" s="234">
        <f t="shared" si="12"/>
        <v>1.0049999999999999</v>
      </c>
      <c r="K81" s="234"/>
      <c r="L81" s="234"/>
      <c r="M81" s="234">
        <f t="shared" ref="M81:M87" si="13">+$M$3</f>
        <v>1.0029999999999999</v>
      </c>
      <c r="N81" s="252">
        <f t="shared" si="9"/>
        <v>1.0029999999999999</v>
      </c>
      <c r="O81" s="80">
        <f t="shared" ref="O81:O87" si="14">+$O$3</f>
        <v>1.0209999999999999</v>
      </c>
      <c r="P81" s="119">
        <v>1.032</v>
      </c>
      <c r="Q81" s="252">
        <f t="shared" si="11"/>
        <v>1.0349999999999999</v>
      </c>
      <c r="R81" s="81">
        <f t="shared" si="1"/>
        <v>1.1932356231980656</v>
      </c>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row>
    <row r="82" spans="1:247" x14ac:dyDescent="0.35">
      <c r="A82" s="244">
        <v>2154</v>
      </c>
      <c r="B82" s="233" t="s">
        <v>2068</v>
      </c>
      <c r="C82" s="186" t="s">
        <v>108</v>
      </c>
      <c r="D82" s="245" t="s">
        <v>1993</v>
      </c>
      <c r="E82" s="119"/>
      <c r="F82" s="75">
        <f t="shared" si="0"/>
        <v>1.0209999999999999</v>
      </c>
      <c r="G82" s="252">
        <f t="shared" si="8"/>
        <v>1.0269999999999999</v>
      </c>
      <c r="H82" s="119"/>
      <c r="I82" s="234"/>
      <c r="J82" s="234">
        <f t="shared" si="12"/>
        <v>1.0049999999999999</v>
      </c>
      <c r="K82" s="234"/>
      <c r="L82" s="234"/>
      <c r="M82" s="234">
        <f t="shared" si="13"/>
        <v>1.0029999999999999</v>
      </c>
      <c r="N82" s="252">
        <f t="shared" si="9"/>
        <v>1.0029999999999999</v>
      </c>
      <c r="O82" s="80">
        <f t="shared" si="14"/>
        <v>1.0209999999999999</v>
      </c>
      <c r="P82" s="160">
        <v>1.032</v>
      </c>
      <c r="Q82" s="252">
        <f t="shared" si="11"/>
        <v>1.0349999999999999</v>
      </c>
      <c r="R82" s="81">
        <f t="shared" si="1"/>
        <v>1.1561386038173773</v>
      </c>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row>
    <row r="83" spans="1:247" x14ac:dyDescent="0.35">
      <c r="A83" s="244">
        <v>2161</v>
      </c>
      <c r="B83" s="233" t="s">
        <v>2069</v>
      </c>
      <c r="C83" s="186" t="s">
        <v>108</v>
      </c>
      <c r="D83" s="245" t="s">
        <v>1993</v>
      </c>
      <c r="E83" s="119"/>
      <c r="F83" s="75">
        <f t="shared" si="0"/>
        <v>1.0209999999999999</v>
      </c>
      <c r="G83" s="252">
        <f t="shared" si="8"/>
        <v>1.0269999999999999</v>
      </c>
      <c r="H83" s="119"/>
      <c r="I83" s="234"/>
      <c r="J83" s="234">
        <f t="shared" si="12"/>
        <v>1.0049999999999999</v>
      </c>
      <c r="K83" s="234"/>
      <c r="L83" s="234"/>
      <c r="M83" s="234">
        <f t="shared" si="13"/>
        <v>1.0029999999999999</v>
      </c>
      <c r="N83" s="252">
        <f t="shared" si="9"/>
        <v>1.0029999999999999</v>
      </c>
      <c r="O83" s="80">
        <f t="shared" si="14"/>
        <v>1.0209999999999999</v>
      </c>
      <c r="P83" s="119">
        <f t="shared" si="10"/>
        <v>1.032</v>
      </c>
      <c r="Q83" s="252">
        <f t="shared" si="11"/>
        <v>1.0349999999999999</v>
      </c>
      <c r="R83" s="81">
        <f>PRODUCT(E83:Q83)</f>
        <v>1.1561386038173773</v>
      </c>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row>
    <row r="84" spans="1:247" x14ac:dyDescent="0.35">
      <c r="A84" s="244">
        <v>2162</v>
      </c>
      <c r="B84" s="233" t="s">
        <v>2070</v>
      </c>
      <c r="C84" s="186" t="s">
        <v>108</v>
      </c>
      <c r="D84" s="245" t="s">
        <v>1993</v>
      </c>
      <c r="E84" s="119"/>
      <c r="F84" s="75">
        <f t="shared" si="0"/>
        <v>1.0209999999999999</v>
      </c>
      <c r="G84" s="252">
        <f t="shared" si="8"/>
        <v>1.0269999999999999</v>
      </c>
      <c r="H84" s="119"/>
      <c r="I84" s="234"/>
      <c r="J84" s="234">
        <f t="shared" si="12"/>
        <v>1.0049999999999999</v>
      </c>
      <c r="K84" s="234"/>
      <c r="L84" s="234"/>
      <c r="M84" s="234">
        <f t="shared" si="13"/>
        <v>1.0029999999999999</v>
      </c>
      <c r="N84" s="252">
        <f t="shared" si="9"/>
        <v>1.0029999999999999</v>
      </c>
      <c r="O84" s="80">
        <f t="shared" si="14"/>
        <v>1.0209999999999999</v>
      </c>
      <c r="P84" s="119">
        <f t="shared" si="10"/>
        <v>1.032</v>
      </c>
      <c r="Q84" s="252">
        <f t="shared" si="11"/>
        <v>1.0349999999999999</v>
      </c>
      <c r="R84" s="81">
        <f>PRODUCT(E84:Q84)</f>
        <v>1.1561386038173773</v>
      </c>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c r="HI84" s="68"/>
      <c r="HJ84" s="68"/>
      <c r="HK84" s="68"/>
      <c r="HL84" s="68"/>
      <c r="HM84" s="68"/>
      <c r="HN84" s="68"/>
      <c r="HO84" s="68"/>
      <c r="HP84" s="68"/>
      <c r="HQ84" s="68"/>
      <c r="HR84" s="68"/>
      <c r="HS84" s="68"/>
      <c r="HT84" s="68"/>
      <c r="HU84" s="68"/>
      <c r="HV84" s="68"/>
      <c r="HW84" s="68"/>
      <c r="HX84" s="68"/>
      <c r="HY84" s="68"/>
      <c r="HZ84" s="68"/>
      <c r="IA84" s="68"/>
      <c r="IB84" s="68"/>
      <c r="IC84" s="68"/>
      <c r="ID84" s="68"/>
      <c r="IE84" s="68"/>
      <c r="IF84" s="68"/>
      <c r="IG84" s="68"/>
      <c r="IH84" s="68"/>
      <c r="II84" s="68"/>
      <c r="IJ84" s="68"/>
      <c r="IK84" s="68"/>
      <c r="IL84" s="68"/>
      <c r="IM84" s="68"/>
    </row>
    <row r="85" spans="1:247" x14ac:dyDescent="0.35">
      <c r="A85" s="244">
        <v>2163</v>
      </c>
      <c r="B85" s="233" t="s">
        <v>2071</v>
      </c>
      <c r="C85" s="186" t="s">
        <v>108</v>
      </c>
      <c r="D85" s="245" t="s">
        <v>1993</v>
      </c>
      <c r="E85" s="119"/>
      <c r="F85" s="75">
        <f t="shared" si="0"/>
        <v>1.0209999999999999</v>
      </c>
      <c r="G85" s="252">
        <f t="shared" si="8"/>
        <v>1.0269999999999999</v>
      </c>
      <c r="H85" s="119"/>
      <c r="I85" s="234"/>
      <c r="J85" s="234">
        <f t="shared" si="12"/>
        <v>1.0049999999999999</v>
      </c>
      <c r="K85" s="234"/>
      <c r="L85" s="234"/>
      <c r="M85" s="234">
        <f t="shared" si="13"/>
        <v>1.0029999999999999</v>
      </c>
      <c r="N85" s="252">
        <f t="shared" si="9"/>
        <v>1.0029999999999999</v>
      </c>
      <c r="O85" s="80">
        <f t="shared" si="14"/>
        <v>1.0209999999999999</v>
      </c>
      <c r="P85" s="119">
        <f t="shared" si="10"/>
        <v>1.032</v>
      </c>
      <c r="Q85" s="252">
        <f t="shared" si="11"/>
        <v>1.0349999999999999</v>
      </c>
      <c r="R85" s="81">
        <f>PRODUCT(E85:Q85)</f>
        <v>1.1561386038173773</v>
      </c>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row>
    <row r="86" spans="1:247" x14ac:dyDescent="0.35">
      <c r="A86" s="244">
        <v>2173</v>
      </c>
      <c r="B86" s="233" t="s">
        <v>2072</v>
      </c>
      <c r="C86" s="186" t="s">
        <v>40</v>
      </c>
      <c r="D86" s="245" t="s">
        <v>1993</v>
      </c>
      <c r="E86" s="119"/>
      <c r="F86" s="75">
        <f t="shared" si="0"/>
        <v>1.0209999999999999</v>
      </c>
      <c r="G86" s="252">
        <f t="shared" si="8"/>
        <v>1.0269999999999999</v>
      </c>
      <c r="H86" s="119"/>
      <c r="I86" s="234"/>
      <c r="J86" s="234"/>
      <c r="K86" s="234"/>
      <c r="L86" s="234"/>
      <c r="M86" s="234"/>
      <c r="N86" s="252"/>
      <c r="O86" s="80"/>
      <c r="P86" s="119"/>
      <c r="Q86" s="252"/>
      <c r="R86" s="81">
        <f>PRODUCT(E86:Q86)</f>
        <v>1.0485669999999998</v>
      </c>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row>
    <row r="87" spans="1:247" x14ac:dyDescent="0.35">
      <c r="A87" s="244">
        <v>2191</v>
      </c>
      <c r="B87" s="233" t="s">
        <v>2073</v>
      </c>
      <c r="C87" s="186" t="s">
        <v>108</v>
      </c>
      <c r="D87" s="245" t="s">
        <v>2001</v>
      </c>
      <c r="E87" s="119">
        <f>+$E$3</f>
        <v>1.0740000000000001</v>
      </c>
      <c r="F87" s="75">
        <f t="shared" si="0"/>
        <v>1.0209999999999999</v>
      </c>
      <c r="G87" s="252">
        <f t="shared" si="8"/>
        <v>1.0269999999999999</v>
      </c>
      <c r="H87" s="119"/>
      <c r="I87" s="234"/>
      <c r="J87" s="234">
        <f t="shared" si="12"/>
        <v>1.0049999999999999</v>
      </c>
      <c r="K87" s="234"/>
      <c r="L87" s="234"/>
      <c r="M87" s="234">
        <f t="shared" si="13"/>
        <v>1.0029999999999999</v>
      </c>
      <c r="N87" s="252">
        <f t="shared" si="9"/>
        <v>1.0029999999999999</v>
      </c>
      <c r="O87" s="80">
        <f t="shared" si="14"/>
        <v>1.0209999999999999</v>
      </c>
      <c r="P87" s="119">
        <f t="shared" si="10"/>
        <v>1.032</v>
      </c>
      <c r="Q87" s="252">
        <f t="shared" si="11"/>
        <v>1.0349999999999999</v>
      </c>
      <c r="R87" s="81">
        <f t="shared" si="1"/>
        <v>1.2416928604998634</v>
      </c>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row>
    <row r="88" spans="1:247" x14ac:dyDescent="0.35">
      <c r="A88" s="244">
        <v>2192</v>
      </c>
      <c r="B88" s="233" t="s">
        <v>2074</v>
      </c>
      <c r="C88" s="186" t="s">
        <v>40</v>
      </c>
      <c r="D88" s="245" t="s">
        <v>1993</v>
      </c>
      <c r="E88" s="119"/>
      <c r="F88" s="75">
        <f t="shared" si="0"/>
        <v>1.0209999999999999</v>
      </c>
      <c r="G88" s="252">
        <f t="shared" si="8"/>
        <v>1.0269999999999999</v>
      </c>
      <c r="H88" s="119"/>
      <c r="I88" s="234"/>
      <c r="J88" s="234"/>
      <c r="K88" s="234"/>
      <c r="L88" s="234"/>
      <c r="M88" s="234"/>
      <c r="N88" s="252">
        <f t="shared" si="9"/>
        <v>1.0029999999999999</v>
      </c>
      <c r="O88" s="80"/>
      <c r="P88" s="119"/>
      <c r="Q88" s="252"/>
      <c r="R88" s="81">
        <f t="shared" si="1"/>
        <v>1.0517127009999996</v>
      </c>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row>
    <row r="89" spans="1:247" x14ac:dyDescent="0.35">
      <c r="A89" s="244">
        <v>2211</v>
      </c>
      <c r="B89" s="233" t="s">
        <v>2075</v>
      </c>
      <c r="C89" s="186" t="s">
        <v>108</v>
      </c>
      <c r="D89" s="245" t="s">
        <v>2001</v>
      </c>
      <c r="E89" s="119"/>
      <c r="F89" s="75">
        <f t="shared" si="0"/>
        <v>1.0209999999999999</v>
      </c>
      <c r="G89" s="252">
        <f t="shared" si="8"/>
        <v>1.0269999999999999</v>
      </c>
      <c r="H89" s="119">
        <f>+$H$3</f>
        <v>1.0029999999999999</v>
      </c>
      <c r="I89" s="234">
        <f>+$I$3</f>
        <v>1.0289999999999999</v>
      </c>
      <c r="J89" s="234">
        <f>+$J$3</f>
        <v>1.0049999999999999</v>
      </c>
      <c r="K89" s="234"/>
      <c r="L89" s="234"/>
      <c r="M89" s="234">
        <f>+$M$3</f>
        <v>1.0029999999999999</v>
      </c>
      <c r="N89" s="252">
        <f t="shared" si="9"/>
        <v>1.0029999999999999</v>
      </c>
      <c r="O89" s="80">
        <f>+$O$3</f>
        <v>1.0209999999999999</v>
      </c>
      <c r="P89" s="119">
        <f t="shared" ref="P89:P112" si="15">+$P$3</f>
        <v>1.032</v>
      </c>
      <c r="Q89" s="252">
        <f t="shared" ref="Q89:Q112" si="16">+$Q$3</f>
        <v>1.0349999999999999</v>
      </c>
      <c r="R89" s="81">
        <f t="shared" si="1"/>
        <v>1.1932356231980656</v>
      </c>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row>
    <row r="90" spans="1:247" x14ac:dyDescent="0.35">
      <c r="A90" s="244">
        <v>2213</v>
      </c>
      <c r="B90" s="233" t="s">
        <v>2076</v>
      </c>
      <c r="C90" s="186" t="s">
        <v>108</v>
      </c>
      <c r="D90" s="245" t="s">
        <v>1993</v>
      </c>
      <c r="E90" s="119"/>
      <c r="F90" s="75">
        <f t="shared" si="0"/>
        <v>1.0209999999999999</v>
      </c>
      <c r="G90" s="252">
        <f t="shared" si="8"/>
        <v>1.0269999999999999</v>
      </c>
      <c r="H90" s="119">
        <f>+$H$3</f>
        <v>1.0029999999999999</v>
      </c>
      <c r="I90" s="234">
        <f>+$I$3</f>
        <v>1.0289999999999999</v>
      </c>
      <c r="J90" s="234"/>
      <c r="K90" s="234"/>
      <c r="L90" s="234"/>
      <c r="M90" s="234"/>
      <c r="N90" s="252">
        <f t="shared" si="9"/>
        <v>1.0029999999999999</v>
      </c>
      <c r="O90" s="80">
        <f>+$O$3</f>
        <v>1.0209999999999999</v>
      </c>
      <c r="P90" s="119">
        <f t="shared" si="15"/>
        <v>1.032</v>
      </c>
      <c r="Q90" s="252">
        <f t="shared" si="16"/>
        <v>1.0349999999999999</v>
      </c>
      <c r="R90" s="81">
        <f t="shared" si="1"/>
        <v>1.1837478839085387</v>
      </c>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c r="HI90" s="68"/>
      <c r="HJ90" s="68"/>
      <c r="HK90" s="68"/>
      <c r="HL90" s="68"/>
      <c r="HM90" s="68"/>
      <c r="HN90" s="68"/>
      <c r="HO90" s="68"/>
      <c r="HP90" s="68"/>
      <c r="HQ90" s="68"/>
      <c r="HR90" s="68"/>
      <c r="HS90" s="68"/>
      <c r="HT90" s="68"/>
      <c r="HU90" s="68"/>
      <c r="HV90" s="68"/>
      <c r="HW90" s="68"/>
      <c r="HX90" s="68"/>
      <c r="HY90" s="68"/>
      <c r="HZ90" s="68"/>
      <c r="IA90" s="68"/>
      <c r="IB90" s="68"/>
      <c r="IC90" s="68"/>
      <c r="ID90" s="68"/>
      <c r="IE90" s="68"/>
      <c r="IF90" s="68"/>
      <c r="IG90" s="68"/>
      <c r="IH90" s="68"/>
      <c r="II90" s="68"/>
      <c r="IJ90" s="68"/>
      <c r="IK90" s="68"/>
      <c r="IL90" s="68"/>
      <c r="IM90" s="68"/>
    </row>
    <row r="91" spans="1:247" x14ac:dyDescent="0.35">
      <c r="A91" s="244">
        <v>2221</v>
      </c>
      <c r="B91" s="233" t="s">
        <v>2077</v>
      </c>
      <c r="C91" s="186" t="s">
        <v>108</v>
      </c>
      <c r="D91" s="245" t="s">
        <v>2001</v>
      </c>
      <c r="E91" s="119"/>
      <c r="F91" s="75">
        <f t="shared" si="0"/>
        <v>1.0209999999999999</v>
      </c>
      <c r="G91" s="252">
        <f t="shared" si="8"/>
        <v>1.0269999999999999</v>
      </c>
      <c r="H91" s="119">
        <f>+$H$3</f>
        <v>1.0029999999999999</v>
      </c>
      <c r="I91" s="234">
        <f>+$I$3</f>
        <v>1.0289999999999999</v>
      </c>
      <c r="J91" s="234">
        <f>+$J$3</f>
        <v>1.0049999999999999</v>
      </c>
      <c r="K91" s="234"/>
      <c r="L91" s="234"/>
      <c r="M91" s="234">
        <f>+$M$3</f>
        <v>1.0029999999999999</v>
      </c>
      <c r="N91" s="252">
        <f t="shared" si="9"/>
        <v>1.0029999999999999</v>
      </c>
      <c r="O91" s="80">
        <f>+$O$3</f>
        <v>1.0209999999999999</v>
      </c>
      <c r="P91" s="119">
        <f t="shared" si="15"/>
        <v>1.032</v>
      </c>
      <c r="Q91" s="252">
        <f t="shared" si="16"/>
        <v>1.0349999999999999</v>
      </c>
      <c r="R91" s="81">
        <f t="shared" si="1"/>
        <v>1.1932356231980656</v>
      </c>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row>
    <row r="92" spans="1:247" x14ac:dyDescent="0.35">
      <c r="A92" s="244">
        <v>2231</v>
      </c>
      <c r="B92" s="233" t="s">
        <v>2078</v>
      </c>
      <c r="C92" s="186" t="s">
        <v>108</v>
      </c>
      <c r="D92" s="245" t="s">
        <v>2001</v>
      </c>
      <c r="E92" s="119"/>
      <c r="F92" s="75">
        <f t="shared" si="0"/>
        <v>1.0209999999999999</v>
      </c>
      <c r="G92" s="252">
        <f t="shared" si="8"/>
        <v>1.0269999999999999</v>
      </c>
      <c r="H92" s="119">
        <f>+$H$3</f>
        <v>1.0029999999999999</v>
      </c>
      <c r="I92" s="234">
        <f>+$I$3</f>
        <v>1.0289999999999999</v>
      </c>
      <c r="J92" s="234">
        <f>+$J$3</f>
        <v>1.0049999999999999</v>
      </c>
      <c r="K92" s="234"/>
      <c r="L92" s="234"/>
      <c r="M92" s="234">
        <f>+$M$3</f>
        <v>1.0029999999999999</v>
      </c>
      <c r="N92" s="252">
        <f t="shared" si="9"/>
        <v>1.0029999999999999</v>
      </c>
      <c r="O92" s="80">
        <f>+$O$3</f>
        <v>1.0209999999999999</v>
      </c>
      <c r="P92" s="119">
        <f t="shared" si="15"/>
        <v>1.032</v>
      </c>
      <c r="Q92" s="252">
        <f t="shared" si="16"/>
        <v>1.0349999999999999</v>
      </c>
      <c r="R92" s="81">
        <f t="shared" si="1"/>
        <v>1.1932356231980656</v>
      </c>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row>
    <row r="93" spans="1:247" x14ac:dyDescent="0.35">
      <c r="A93" s="244">
        <v>2241</v>
      </c>
      <c r="B93" s="233" t="s">
        <v>2079</v>
      </c>
      <c r="C93" s="186" t="s">
        <v>108</v>
      </c>
      <c r="D93" s="245" t="s">
        <v>2001</v>
      </c>
      <c r="E93" s="119"/>
      <c r="F93" s="75">
        <f t="shared" si="0"/>
        <v>1.0209999999999999</v>
      </c>
      <c r="G93" s="252">
        <f t="shared" si="8"/>
        <v>1.0269999999999999</v>
      </c>
      <c r="H93" s="119">
        <f>+$H$3</f>
        <v>1.0029999999999999</v>
      </c>
      <c r="I93" s="234">
        <f>+$I$3</f>
        <v>1.0289999999999999</v>
      </c>
      <c r="J93" s="234">
        <f>+$J$3</f>
        <v>1.0049999999999999</v>
      </c>
      <c r="K93" s="234"/>
      <c r="L93" s="234"/>
      <c r="M93" s="234">
        <f>+$M$3</f>
        <v>1.0029999999999999</v>
      </c>
      <c r="N93" s="252">
        <f t="shared" si="9"/>
        <v>1.0029999999999999</v>
      </c>
      <c r="O93" s="80">
        <f>+$O$3</f>
        <v>1.0209999999999999</v>
      </c>
      <c r="P93" s="119">
        <f t="shared" si="15"/>
        <v>1.032</v>
      </c>
      <c r="Q93" s="252">
        <f t="shared" si="16"/>
        <v>1.0349999999999999</v>
      </c>
      <c r="R93" s="81">
        <f t="shared" si="1"/>
        <v>1.1932356231980656</v>
      </c>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row>
    <row r="94" spans="1:247" x14ac:dyDescent="0.35">
      <c r="A94" s="244">
        <v>2242</v>
      </c>
      <c r="B94" s="233" t="s">
        <v>2080</v>
      </c>
      <c r="C94" s="186" t="s">
        <v>108</v>
      </c>
      <c r="D94" s="245" t="s">
        <v>1993</v>
      </c>
      <c r="E94" s="119"/>
      <c r="F94" s="75">
        <f t="shared" si="0"/>
        <v>1.0209999999999999</v>
      </c>
      <c r="G94" s="252">
        <f t="shared" si="8"/>
        <v>1.0269999999999999</v>
      </c>
      <c r="H94" s="119"/>
      <c r="I94" s="234"/>
      <c r="J94" s="234"/>
      <c r="K94" s="234"/>
      <c r="L94" s="234"/>
      <c r="M94" s="234"/>
      <c r="N94" s="252"/>
      <c r="O94" s="80"/>
      <c r="P94" s="119">
        <f t="shared" si="15"/>
        <v>1.032</v>
      </c>
      <c r="Q94" s="252">
        <f t="shared" si="16"/>
        <v>1.0349999999999999</v>
      </c>
      <c r="R94" s="81">
        <f t="shared" si="1"/>
        <v>1.1199953840399997</v>
      </c>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row>
    <row r="95" spans="1:247" x14ac:dyDescent="0.35">
      <c r="A95" s="244">
        <v>2251</v>
      </c>
      <c r="B95" s="233" t="s">
        <v>2081</v>
      </c>
      <c r="C95" s="186" t="s">
        <v>108</v>
      </c>
      <c r="D95" s="245" t="s">
        <v>2001</v>
      </c>
      <c r="E95" s="119"/>
      <c r="F95" s="75">
        <f t="shared" si="0"/>
        <v>1.0209999999999999</v>
      </c>
      <c r="G95" s="252">
        <f t="shared" si="8"/>
        <v>1.0269999999999999</v>
      </c>
      <c r="H95" s="119">
        <f>+$H$3</f>
        <v>1.0029999999999999</v>
      </c>
      <c r="I95" s="234">
        <f>+$I$3</f>
        <v>1.0289999999999999</v>
      </c>
      <c r="J95" s="234">
        <f>+$J$3</f>
        <v>1.0049999999999999</v>
      </c>
      <c r="K95" s="234"/>
      <c r="L95" s="234"/>
      <c r="M95" s="234">
        <f>+$M$3</f>
        <v>1.0029999999999999</v>
      </c>
      <c r="N95" s="252">
        <f>+$N$3</f>
        <v>1.0029999999999999</v>
      </c>
      <c r="O95" s="80">
        <f>+$O$3</f>
        <v>1.0209999999999999</v>
      </c>
      <c r="P95" s="119">
        <f t="shared" si="15"/>
        <v>1.032</v>
      </c>
      <c r="Q95" s="252">
        <f t="shared" si="16"/>
        <v>1.0349999999999999</v>
      </c>
      <c r="R95" s="81">
        <f t="shared" si="1"/>
        <v>1.1932356231980656</v>
      </c>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row>
    <row r="96" spans="1:247" x14ac:dyDescent="0.35">
      <c r="A96" s="244">
        <v>2252</v>
      </c>
      <c r="B96" s="233" t="s">
        <v>2082</v>
      </c>
      <c r="C96" s="186" t="s">
        <v>108</v>
      </c>
      <c r="D96" s="245" t="s">
        <v>1993</v>
      </c>
      <c r="E96" s="119"/>
      <c r="F96" s="75">
        <v>1.0209999999999999</v>
      </c>
      <c r="G96" s="252">
        <v>1.0269999999999999</v>
      </c>
      <c r="H96" s="119">
        <v>1.0029999999999999</v>
      </c>
      <c r="I96" s="234">
        <v>1.0289999999999999</v>
      </c>
      <c r="J96" s="234">
        <v>1.0049999999999999</v>
      </c>
      <c r="K96" s="234"/>
      <c r="L96" s="234"/>
      <c r="M96" s="234">
        <v>1.0029999999999999</v>
      </c>
      <c r="N96" s="252">
        <v>1.0029999999999999</v>
      </c>
      <c r="O96" s="80">
        <v>1.0209999999999999</v>
      </c>
      <c r="P96" s="119">
        <v>1.032</v>
      </c>
      <c r="Q96" s="252">
        <v>1.0349999999999999</v>
      </c>
      <c r="R96" s="81">
        <v>1.1932356231980656</v>
      </c>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row>
    <row r="97" spans="1:247" x14ac:dyDescent="0.35">
      <c r="A97" s="244">
        <v>2261</v>
      </c>
      <c r="B97" s="233" t="s">
        <v>2083</v>
      </c>
      <c r="C97" s="186" t="s">
        <v>108</v>
      </c>
      <c r="D97" s="245" t="s">
        <v>2001</v>
      </c>
      <c r="E97" s="119"/>
      <c r="F97" s="75">
        <f t="shared" si="0"/>
        <v>1.0209999999999999</v>
      </c>
      <c r="G97" s="252">
        <f t="shared" si="8"/>
        <v>1.0269999999999999</v>
      </c>
      <c r="H97" s="119">
        <f>+$H$3</f>
        <v>1.0029999999999999</v>
      </c>
      <c r="I97" s="234">
        <f>+$I$3</f>
        <v>1.0289999999999999</v>
      </c>
      <c r="J97" s="234">
        <f>+$J$3</f>
        <v>1.0049999999999999</v>
      </c>
      <c r="K97" s="234"/>
      <c r="L97" s="234"/>
      <c r="M97" s="234">
        <f>+$M$3</f>
        <v>1.0029999999999999</v>
      </c>
      <c r="N97" s="252">
        <f>+$N$3</f>
        <v>1.0029999999999999</v>
      </c>
      <c r="O97" s="80">
        <f>+$O$3</f>
        <v>1.0209999999999999</v>
      </c>
      <c r="P97" s="119">
        <f t="shared" si="15"/>
        <v>1.032</v>
      </c>
      <c r="Q97" s="252">
        <f t="shared" si="16"/>
        <v>1.0349999999999999</v>
      </c>
      <c r="R97" s="81">
        <f t="shared" si="1"/>
        <v>1.1932356231980656</v>
      </c>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row>
    <row r="98" spans="1:247" x14ac:dyDescent="0.35">
      <c r="A98" s="244">
        <v>2262</v>
      </c>
      <c r="B98" s="233" t="s">
        <v>2084</v>
      </c>
      <c r="C98" s="186" t="s">
        <v>108</v>
      </c>
      <c r="D98" s="245" t="s">
        <v>1993</v>
      </c>
      <c r="E98" s="119"/>
      <c r="F98" s="75">
        <f t="shared" si="0"/>
        <v>1.0209999999999999</v>
      </c>
      <c r="G98" s="252"/>
      <c r="H98" s="119"/>
      <c r="I98" s="234"/>
      <c r="J98" s="234"/>
      <c r="K98" s="234"/>
      <c r="L98" s="234"/>
      <c r="M98" s="234"/>
      <c r="N98" s="252"/>
      <c r="O98" s="80"/>
      <c r="P98" s="119">
        <f t="shared" si="15"/>
        <v>1.032</v>
      </c>
      <c r="Q98" s="252">
        <f t="shared" si="16"/>
        <v>1.0349999999999999</v>
      </c>
      <c r="R98" s="81">
        <f t="shared" si="1"/>
        <v>1.0905505199999999</v>
      </c>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row>
    <row r="99" spans="1:247" x14ac:dyDescent="0.35">
      <c r="A99" s="244">
        <v>2271</v>
      </c>
      <c r="B99" s="233" t="s">
        <v>2085</v>
      </c>
      <c r="C99" s="186" t="s">
        <v>108</v>
      </c>
      <c r="D99" s="245" t="s">
        <v>2001</v>
      </c>
      <c r="E99" s="119"/>
      <c r="F99" s="75">
        <f t="shared" si="0"/>
        <v>1.0209999999999999</v>
      </c>
      <c r="G99" s="252">
        <f t="shared" ref="G99:G113" si="17">+$G$3</f>
        <v>1.0269999999999999</v>
      </c>
      <c r="H99" s="119">
        <f>+$H$3</f>
        <v>1.0029999999999999</v>
      </c>
      <c r="I99" s="234">
        <f>+$I$3</f>
        <v>1.0289999999999999</v>
      </c>
      <c r="J99" s="234">
        <f>+$J$3</f>
        <v>1.0049999999999999</v>
      </c>
      <c r="K99" s="234"/>
      <c r="L99" s="234"/>
      <c r="M99" s="234">
        <f>+$M$3</f>
        <v>1.0029999999999999</v>
      </c>
      <c r="N99" s="252">
        <f t="shared" ref="N99:N113" si="18">+$N$3</f>
        <v>1.0029999999999999</v>
      </c>
      <c r="O99" s="80">
        <f>+$O$3</f>
        <v>1.0209999999999999</v>
      </c>
      <c r="P99" s="119">
        <f t="shared" si="15"/>
        <v>1.032</v>
      </c>
      <c r="Q99" s="252">
        <f t="shared" si="16"/>
        <v>1.0349999999999999</v>
      </c>
      <c r="R99" s="81">
        <f t="shared" si="1"/>
        <v>1.1932356231980656</v>
      </c>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row>
    <row r="100" spans="1:247" x14ac:dyDescent="0.35">
      <c r="A100" s="244">
        <v>2281</v>
      </c>
      <c r="B100" s="233" t="s">
        <v>2086</v>
      </c>
      <c r="C100" s="186" t="s">
        <v>108</v>
      </c>
      <c r="D100" s="245" t="s">
        <v>2001</v>
      </c>
      <c r="E100" s="119"/>
      <c r="F100" s="75">
        <f t="shared" si="0"/>
        <v>1.0209999999999999</v>
      </c>
      <c r="G100" s="252">
        <f t="shared" si="17"/>
        <v>1.0269999999999999</v>
      </c>
      <c r="H100" s="119">
        <f>+$H$3</f>
        <v>1.0029999999999999</v>
      </c>
      <c r="I100" s="234">
        <f>+$I$3</f>
        <v>1.0289999999999999</v>
      </c>
      <c r="J100" s="234">
        <f>+$J$3</f>
        <v>1.0049999999999999</v>
      </c>
      <c r="K100" s="234"/>
      <c r="L100" s="234"/>
      <c r="M100" s="234">
        <f>+$M$3</f>
        <v>1.0029999999999999</v>
      </c>
      <c r="N100" s="252">
        <f t="shared" si="18"/>
        <v>1.0029999999999999</v>
      </c>
      <c r="O100" s="80">
        <f>+$O$3</f>
        <v>1.0209999999999999</v>
      </c>
      <c r="P100" s="119">
        <f t="shared" si="15"/>
        <v>1.032</v>
      </c>
      <c r="Q100" s="252">
        <f t="shared" si="16"/>
        <v>1.0349999999999999</v>
      </c>
      <c r="R100" s="81">
        <f>PRODUCT(E100:Q100)</f>
        <v>1.1932356231980656</v>
      </c>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row>
    <row r="101" spans="1:247" x14ac:dyDescent="0.35">
      <c r="A101" s="244">
        <v>2291</v>
      </c>
      <c r="B101" s="233" t="s">
        <v>2087</v>
      </c>
      <c r="C101" s="186" t="s">
        <v>40</v>
      </c>
      <c r="D101" s="245" t="s">
        <v>1993</v>
      </c>
      <c r="E101" s="119"/>
      <c r="F101" s="75">
        <f t="shared" si="0"/>
        <v>1.0209999999999999</v>
      </c>
      <c r="G101" s="252">
        <f t="shared" si="17"/>
        <v>1.0269999999999999</v>
      </c>
      <c r="H101" s="119"/>
      <c r="I101" s="234"/>
      <c r="J101" s="234"/>
      <c r="K101" s="234"/>
      <c r="L101" s="234"/>
      <c r="M101" s="234"/>
      <c r="N101" s="252">
        <f t="shared" si="18"/>
        <v>1.0029999999999999</v>
      </c>
      <c r="O101" s="80"/>
      <c r="P101" s="119">
        <f t="shared" si="15"/>
        <v>1.032</v>
      </c>
      <c r="Q101" s="252">
        <f t="shared" si="16"/>
        <v>1.0349999999999999</v>
      </c>
      <c r="R101" s="81">
        <f t="shared" si="1"/>
        <v>1.1233553701921195</v>
      </c>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row>
    <row r="102" spans="1:247" x14ac:dyDescent="0.35">
      <c r="A102" s="244">
        <v>3101</v>
      </c>
      <c r="B102" s="233" t="s">
        <v>2088</v>
      </c>
      <c r="C102" s="186" t="s">
        <v>108</v>
      </c>
      <c r="D102" s="245" t="s">
        <v>2001</v>
      </c>
      <c r="E102" s="119">
        <f t="shared" ref="E102:E113" si="19">+$E$3</f>
        <v>1.0740000000000001</v>
      </c>
      <c r="F102" s="75">
        <f t="shared" si="0"/>
        <v>1.0209999999999999</v>
      </c>
      <c r="G102" s="252">
        <f t="shared" si="17"/>
        <v>1.0269999999999999</v>
      </c>
      <c r="H102" s="119">
        <f t="shared" ref="H102:H113" si="20">+$H$3</f>
        <v>1.0029999999999999</v>
      </c>
      <c r="I102" s="234">
        <f t="shared" ref="I102:I113" si="21">+$I$3</f>
        <v>1.0289999999999999</v>
      </c>
      <c r="J102" s="234">
        <f t="shared" ref="J102:J113" si="22">+$J$3</f>
        <v>1.0049999999999999</v>
      </c>
      <c r="K102" s="234">
        <f t="shared" ref="K102:K113" si="23">+$K$3</f>
        <v>1.026</v>
      </c>
      <c r="L102" s="234">
        <f t="shared" ref="L102:L113" si="24">+$L$3</f>
        <v>1.0129999999999999</v>
      </c>
      <c r="M102" s="234">
        <f t="shared" ref="M102:M113" si="25">+$M$3</f>
        <v>1.0029999999999999</v>
      </c>
      <c r="N102" s="252">
        <f t="shared" si="18"/>
        <v>1.0029999999999999</v>
      </c>
      <c r="O102" s="80">
        <f t="shared" ref="O102:O113" si="26">+$O$3</f>
        <v>1.0209999999999999</v>
      </c>
      <c r="P102" s="119">
        <f t="shared" si="15"/>
        <v>1.032</v>
      </c>
      <c r="Q102" s="252">
        <f t="shared" si="16"/>
        <v>1.0349999999999999</v>
      </c>
      <c r="R102" s="81">
        <f t="shared" si="1"/>
        <v>1.3319480854780448</v>
      </c>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row>
    <row r="103" spans="1:247" x14ac:dyDescent="0.35">
      <c r="A103" s="244">
        <v>3102</v>
      </c>
      <c r="B103" s="233" t="s">
        <v>2089</v>
      </c>
      <c r="C103" s="186" t="s">
        <v>108</v>
      </c>
      <c r="D103" s="245" t="s">
        <v>2001</v>
      </c>
      <c r="E103" s="119">
        <f t="shared" si="19"/>
        <v>1.0740000000000001</v>
      </c>
      <c r="F103" s="75">
        <f t="shared" si="0"/>
        <v>1.0209999999999999</v>
      </c>
      <c r="G103" s="252">
        <f t="shared" si="17"/>
        <v>1.0269999999999999</v>
      </c>
      <c r="H103" s="119">
        <f t="shared" si="20"/>
        <v>1.0029999999999999</v>
      </c>
      <c r="I103" s="234">
        <f t="shared" si="21"/>
        <v>1.0289999999999999</v>
      </c>
      <c r="J103" s="234">
        <f t="shared" si="22"/>
        <v>1.0049999999999999</v>
      </c>
      <c r="K103" s="234">
        <f t="shared" si="23"/>
        <v>1.026</v>
      </c>
      <c r="L103" s="234">
        <f t="shared" si="24"/>
        <v>1.0129999999999999</v>
      </c>
      <c r="M103" s="234">
        <f t="shared" si="25"/>
        <v>1.0029999999999999</v>
      </c>
      <c r="N103" s="252">
        <f t="shared" si="18"/>
        <v>1.0029999999999999</v>
      </c>
      <c r="O103" s="80">
        <f t="shared" si="26"/>
        <v>1.0209999999999999</v>
      </c>
      <c r="P103" s="119">
        <f t="shared" si="15"/>
        <v>1.032</v>
      </c>
      <c r="Q103" s="252">
        <f t="shared" si="16"/>
        <v>1.0349999999999999</v>
      </c>
      <c r="R103" s="81">
        <f t="shared" si="1"/>
        <v>1.3319480854780448</v>
      </c>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row>
    <row r="104" spans="1:247" x14ac:dyDescent="0.35">
      <c r="A104" s="244">
        <v>3103</v>
      </c>
      <c r="B104" s="233" t="s">
        <v>2090</v>
      </c>
      <c r="C104" s="186" t="s">
        <v>108</v>
      </c>
      <c r="D104" s="245" t="s">
        <v>2001</v>
      </c>
      <c r="E104" s="119">
        <f t="shared" si="19"/>
        <v>1.0740000000000001</v>
      </c>
      <c r="F104" s="75">
        <f t="shared" si="0"/>
        <v>1.0209999999999999</v>
      </c>
      <c r="G104" s="252">
        <f t="shared" si="17"/>
        <v>1.0269999999999999</v>
      </c>
      <c r="H104" s="119">
        <f t="shared" si="20"/>
        <v>1.0029999999999999</v>
      </c>
      <c r="I104" s="234">
        <f t="shared" si="21"/>
        <v>1.0289999999999999</v>
      </c>
      <c r="J104" s="234">
        <f t="shared" si="22"/>
        <v>1.0049999999999999</v>
      </c>
      <c r="K104" s="234">
        <f t="shared" si="23"/>
        <v>1.026</v>
      </c>
      <c r="L104" s="234">
        <f t="shared" si="24"/>
        <v>1.0129999999999999</v>
      </c>
      <c r="M104" s="234">
        <f t="shared" si="25"/>
        <v>1.0029999999999999</v>
      </c>
      <c r="N104" s="252">
        <f t="shared" si="18"/>
        <v>1.0029999999999999</v>
      </c>
      <c r="O104" s="80">
        <f t="shared" si="26"/>
        <v>1.0209999999999999</v>
      </c>
      <c r="P104" s="119">
        <f t="shared" si="15"/>
        <v>1.032</v>
      </c>
      <c r="Q104" s="252">
        <f t="shared" si="16"/>
        <v>1.0349999999999999</v>
      </c>
      <c r="R104" s="81">
        <f t="shared" si="1"/>
        <v>1.3319480854780448</v>
      </c>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row>
    <row r="105" spans="1:247" x14ac:dyDescent="0.35">
      <c r="A105" s="244">
        <v>3104</v>
      </c>
      <c r="B105" s="233" t="s">
        <v>2091</v>
      </c>
      <c r="C105" s="186" t="s">
        <v>108</v>
      </c>
      <c r="D105" s="245" t="s">
        <v>2001</v>
      </c>
      <c r="E105" s="119">
        <f t="shared" si="19"/>
        <v>1.0740000000000001</v>
      </c>
      <c r="F105" s="75">
        <f t="shared" si="0"/>
        <v>1.0209999999999999</v>
      </c>
      <c r="G105" s="252">
        <f t="shared" si="17"/>
        <v>1.0269999999999999</v>
      </c>
      <c r="H105" s="119">
        <f t="shared" si="20"/>
        <v>1.0029999999999999</v>
      </c>
      <c r="I105" s="234">
        <f t="shared" si="21"/>
        <v>1.0289999999999999</v>
      </c>
      <c r="J105" s="234">
        <f t="shared" si="22"/>
        <v>1.0049999999999999</v>
      </c>
      <c r="K105" s="234">
        <f t="shared" si="23"/>
        <v>1.026</v>
      </c>
      <c r="L105" s="234">
        <f t="shared" si="24"/>
        <v>1.0129999999999999</v>
      </c>
      <c r="M105" s="234">
        <f t="shared" si="25"/>
        <v>1.0029999999999999</v>
      </c>
      <c r="N105" s="252">
        <f t="shared" si="18"/>
        <v>1.0029999999999999</v>
      </c>
      <c r="O105" s="80">
        <f t="shared" si="26"/>
        <v>1.0209999999999999</v>
      </c>
      <c r="P105" s="119">
        <f t="shared" si="15"/>
        <v>1.032</v>
      </c>
      <c r="Q105" s="252">
        <f t="shared" si="16"/>
        <v>1.0349999999999999</v>
      </c>
      <c r="R105" s="81">
        <f t="shared" si="1"/>
        <v>1.3319480854780448</v>
      </c>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row>
    <row r="106" spans="1:247" x14ac:dyDescent="0.35">
      <c r="A106" s="244">
        <v>3131</v>
      </c>
      <c r="B106" s="233" t="s">
        <v>2092</v>
      </c>
      <c r="C106" s="186" t="s">
        <v>108</v>
      </c>
      <c r="D106" s="245" t="s">
        <v>2001</v>
      </c>
      <c r="E106" s="119">
        <f t="shared" si="19"/>
        <v>1.0740000000000001</v>
      </c>
      <c r="F106" s="75">
        <f t="shared" si="0"/>
        <v>1.0209999999999999</v>
      </c>
      <c r="G106" s="252">
        <f t="shared" si="17"/>
        <v>1.0269999999999999</v>
      </c>
      <c r="H106" s="119">
        <f t="shared" si="20"/>
        <v>1.0029999999999999</v>
      </c>
      <c r="I106" s="234">
        <f t="shared" si="21"/>
        <v>1.0289999999999999</v>
      </c>
      <c r="J106" s="234">
        <f t="shared" si="22"/>
        <v>1.0049999999999999</v>
      </c>
      <c r="K106" s="234">
        <f t="shared" si="23"/>
        <v>1.026</v>
      </c>
      <c r="L106" s="234">
        <f t="shared" si="24"/>
        <v>1.0129999999999999</v>
      </c>
      <c r="M106" s="234">
        <f t="shared" si="25"/>
        <v>1.0029999999999999</v>
      </c>
      <c r="N106" s="252">
        <f t="shared" si="18"/>
        <v>1.0029999999999999</v>
      </c>
      <c r="O106" s="80">
        <f t="shared" si="26"/>
        <v>1.0209999999999999</v>
      </c>
      <c r="P106" s="119">
        <f t="shared" si="15"/>
        <v>1.032</v>
      </c>
      <c r="Q106" s="252">
        <f t="shared" si="16"/>
        <v>1.0349999999999999</v>
      </c>
      <c r="R106" s="81">
        <f t="shared" si="1"/>
        <v>1.3319480854780448</v>
      </c>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row>
    <row r="107" spans="1:247" x14ac:dyDescent="0.35">
      <c r="A107" s="244">
        <v>3141</v>
      </c>
      <c r="B107" s="233" t="s">
        <v>2093</v>
      </c>
      <c r="C107" s="186" t="s">
        <v>108</v>
      </c>
      <c r="D107" s="245" t="s">
        <v>2001</v>
      </c>
      <c r="E107" s="119">
        <f t="shared" si="19"/>
        <v>1.0740000000000001</v>
      </c>
      <c r="F107" s="75">
        <f t="shared" si="0"/>
        <v>1.0209999999999999</v>
      </c>
      <c r="G107" s="252">
        <f t="shared" si="17"/>
        <v>1.0269999999999999</v>
      </c>
      <c r="H107" s="119">
        <f t="shared" si="20"/>
        <v>1.0029999999999999</v>
      </c>
      <c r="I107" s="234">
        <f t="shared" si="21"/>
        <v>1.0289999999999999</v>
      </c>
      <c r="J107" s="234">
        <f t="shared" si="22"/>
        <v>1.0049999999999999</v>
      </c>
      <c r="K107" s="234">
        <f t="shared" si="23"/>
        <v>1.026</v>
      </c>
      <c r="L107" s="234">
        <f t="shared" si="24"/>
        <v>1.0129999999999999</v>
      </c>
      <c r="M107" s="234">
        <f t="shared" si="25"/>
        <v>1.0029999999999999</v>
      </c>
      <c r="N107" s="252">
        <f t="shared" si="18"/>
        <v>1.0029999999999999</v>
      </c>
      <c r="O107" s="80">
        <f t="shared" si="26"/>
        <v>1.0209999999999999</v>
      </c>
      <c r="P107" s="119">
        <f t="shared" si="15"/>
        <v>1.032</v>
      </c>
      <c r="Q107" s="252">
        <f t="shared" si="16"/>
        <v>1.0349999999999999</v>
      </c>
      <c r="R107" s="81">
        <f>PRODUCT(E107:Q107)</f>
        <v>1.3319480854780448</v>
      </c>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row>
    <row r="108" spans="1:247" x14ac:dyDescent="0.35">
      <c r="A108" s="244">
        <v>3151</v>
      </c>
      <c r="B108" s="233" t="s">
        <v>2094</v>
      </c>
      <c r="C108" s="186" t="s">
        <v>108</v>
      </c>
      <c r="D108" s="245" t="s">
        <v>2001</v>
      </c>
      <c r="E108" s="119">
        <f t="shared" si="19"/>
        <v>1.0740000000000001</v>
      </c>
      <c r="F108" s="75">
        <f t="shared" si="0"/>
        <v>1.0209999999999999</v>
      </c>
      <c r="G108" s="252">
        <f t="shared" si="17"/>
        <v>1.0269999999999999</v>
      </c>
      <c r="H108" s="119">
        <f t="shared" si="20"/>
        <v>1.0029999999999999</v>
      </c>
      <c r="I108" s="234">
        <f t="shared" si="21"/>
        <v>1.0289999999999999</v>
      </c>
      <c r="J108" s="234">
        <f t="shared" si="22"/>
        <v>1.0049999999999999</v>
      </c>
      <c r="K108" s="234">
        <f t="shared" si="23"/>
        <v>1.026</v>
      </c>
      <c r="L108" s="234">
        <f t="shared" si="24"/>
        <v>1.0129999999999999</v>
      </c>
      <c r="M108" s="234">
        <f t="shared" si="25"/>
        <v>1.0029999999999999</v>
      </c>
      <c r="N108" s="252">
        <f t="shared" si="18"/>
        <v>1.0029999999999999</v>
      </c>
      <c r="O108" s="80">
        <f t="shared" si="26"/>
        <v>1.0209999999999999</v>
      </c>
      <c r="P108" s="119">
        <f t="shared" si="15"/>
        <v>1.032</v>
      </c>
      <c r="Q108" s="252">
        <f t="shared" si="16"/>
        <v>1.0349999999999999</v>
      </c>
      <c r="R108" s="81">
        <f>PRODUCT(E108:Q108)</f>
        <v>1.3319480854780448</v>
      </c>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row>
    <row r="109" spans="1:247" x14ac:dyDescent="0.35">
      <c r="A109" s="244">
        <v>3161</v>
      </c>
      <c r="B109" s="233" t="s">
        <v>2095</v>
      </c>
      <c r="C109" s="186" t="s">
        <v>108</v>
      </c>
      <c r="D109" s="245" t="s">
        <v>2001</v>
      </c>
      <c r="E109" s="119">
        <f t="shared" si="19"/>
        <v>1.0740000000000001</v>
      </c>
      <c r="F109" s="75">
        <f t="shared" si="0"/>
        <v>1.0209999999999999</v>
      </c>
      <c r="G109" s="252">
        <f t="shared" si="17"/>
        <v>1.0269999999999999</v>
      </c>
      <c r="H109" s="119">
        <f t="shared" si="20"/>
        <v>1.0029999999999999</v>
      </c>
      <c r="I109" s="234">
        <f t="shared" si="21"/>
        <v>1.0289999999999999</v>
      </c>
      <c r="J109" s="234">
        <f t="shared" si="22"/>
        <v>1.0049999999999999</v>
      </c>
      <c r="K109" s="234">
        <f t="shared" si="23"/>
        <v>1.026</v>
      </c>
      <c r="L109" s="234">
        <f t="shared" si="24"/>
        <v>1.0129999999999999</v>
      </c>
      <c r="M109" s="234">
        <f t="shared" si="25"/>
        <v>1.0029999999999999</v>
      </c>
      <c r="N109" s="252">
        <f t="shared" si="18"/>
        <v>1.0029999999999999</v>
      </c>
      <c r="O109" s="80">
        <f t="shared" si="26"/>
        <v>1.0209999999999999</v>
      </c>
      <c r="P109" s="119">
        <f t="shared" si="15"/>
        <v>1.032</v>
      </c>
      <c r="Q109" s="252">
        <f t="shared" si="16"/>
        <v>1.0349999999999999</v>
      </c>
      <c r="R109" s="81">
        <f>PRODUCT(E109:Q109)</f>
        <v>1.3319480854780448</v>
      </c>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row>
    <row r="110" spans="1:247" x14ac:dyDescent="0.35">
      <c r="A110" s="244">
        <v>3171</v>
      </c>
      <c r="B110" s="233" t="s">
        <v>2096</v>
      </c>
      <c r="C110" s="186" t="s">
        <v>108</v>
      </c>
      <c r="D110" s="245" t="s">
        <v>2001</v>
      </c>
      <c r="E110" s="119">
        <f t="shared" si="19"/>
        <v>1.0740000000000001</v>
      </c>
      <c r="F110" s="75">
        <f t="shared" si="0"/>
        <v>1.0209999999999999</v>
      </c>
      <c r="G110" s="252">
        <f t="shared" si="17"/>
        <v>1.0269999999999999</v>
      </c>
      <c r="H110" s="119">
        <f t="shared" si="20"/>
        <v>1.0029999999999999</v>
      </c>
      <c r="I110" s="234">
        <f t="shared" si="21"/>
        <v>1.0289999999999999</v>
      </c>
      <c r="J110" s="234">
        <f t="shared" si="22"/>
        <v>1.0049999999999999</v>
      </c>
      <c r="K110" s="234">
        <f t="shared" si="23"/>
        <v>1.026</v>
      </c>
      <c r="L110" s="234">
        <f t="shared" si="24"/>
        <v>1.0129999999999999</v>
      </c>
      <c r="M110" s="234">
        <f t="shared" si="25"/>
        <v>1.0029999999999999</v>
      </c>
      <c r="N110" s="252">
        <f t="shared" si="18"/>
        <v>1.0029999999999999</v>
      </c>
      <c r="O110" s="80">
        <f t="shared" si="26"/>
        <v>1.0209999999999999</v>
      </c>
      <c r="P110" s="119">
        <f t="shared" si="15"/>
        <v>1.032</v>
      </c>
      <c r="Q110" s="252">
        <f t="shared" si="16"/>
        <v>1.0349999999999999</v>
      </c>
      <c r="R110" s="81">
        <f>PRODUCT(E110:Q110)</f>
        <v>1.3319480854780448</v>
      </c>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row>
    <row r="111" spans="1:247" x14ac:dyDescent="0.35">
      <c r="A111" s="244">
        <v>3181</v>
      </c>
      <c r="B111" s="233" t="s">
        <v>2097</v>
      </c>
      <c r="C111" s="186" t="s">
        <v>108</v>
      </c>
      <c r="D111" s="245" t="s">
        <v>2001</v>
      </c>
      <c r="E111" s="119">
        <f t="shared" si="19"/>
        <v>1.0740000000000001</v>
      </c>
      <c r="F111" s="75">
        <f t="shared" si="0"/>
        <v>1.0209999999999999</v>
      </c>
      <c r="G111" s="252"/>
      <c r="H111" s="119">
        <f t="shared" si="20"/>
        <v>1.0029999999999999</v>
      </c>
      <c r="I111" s="234">
        <f t="shared" si="21"/>
        <v>1.0289999999999999</v>
      </c>
      <c r="J111" s="234">
        <f t="shared" si="22"/>
        <v>1.0049999999999999</v>
      </c>
      <c r="K111" s="234">
        <f t="shared" si="23"/>
        <v>1.026</v>
      </c>
      <c r="L111" s="234">
        <f t="shared" si="24"/>
        <v>1.0129999999999999</v>
      </c>
      <c r="M111" s="234">
        <f t="shared" si="25"/>
        <v>1.0029999999999999</v>
      </c>
      <c r="N111" s="252">
        <f t="shared" si="18"/>
        <v>1.0029999999999999</v>
      </c>
      <c r="O111" s="80">
        <f t="shared" si="26"/>
        <v>1.0209999999999999</v>
      </c>
      <c r="P111" s="119">
        <f t="shared" si="15"/>
        <v>1.032</v>
      </c>
      <c r="Q111" s="252">
        <f t="shared" si="16"/>
        <v>1.0349999999999999</v>
      </c>
      <c r="R111" s="81">
        <f t="shared" si="1"/>
        <v>1.2969309498325658</v>
      </c>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row>
    <row r="112" spans="1:247" x14ac:dyDescent="0.35">
      <c r="A112" s="244">
        <v>3191</v>
      </c>
      <c r="B112" s="233" t="s">
        <v>2098</v>
      </c>
      <c r="C112" s="186" t="s">
        <v>108</v>
      </c>
      <c r="D112" s="245" t="s">
        <v>2001</v>
      </c>
      <c r="E112" s="119">
        <f t="shared" si="19"/>
        <v>1.0740000000000001</v>
      </c>
      <c r="F112" s="75">
        <f t="shared" si="0"/>
        <v>1.0209999999999999</v>
      </c>
      <c r="G112" s="252">
        <f t="shared" si="17"/>
        <v>1.0269999999999999</v>
      </c>
      <c r="H112" s="119">
        <f t="shared" si="20"/>
        <v>1.0029999999999999</v>
      </c>
      <c r="I112" s="234">
        <f t="shared" si="21"/>
        <v>1.0289999999999999</v>
      </c>
      <c r="J112" s="234">
        <f t="shared" si="22"/>
        <v>1.0049999999999999</v>
      </c>
      <c r="K112" s="234">
        <f t="shared" si="23"/>
        <v>1.026</v>
      </c>
      <c r="L112" s="234">
        <f t="shared" si="24"/>
        <v>1.0129999999999999</v>
      </c>
      <c r="M112" s="234">
        <f t="shared" si="25"/>
        <v>1.0029999999999999</v>
      </c>
      <c r="N112" s="252">
        <f t="shared" si="18"/>
        <v>1.0029999999999999</v>
      </c>
      <c r="O112" s="80">
        <f t="shared" si="26"/>
        <v>1.0209999999999999</v>
      </c>
      <c r="P112" s="119">
        <f t="shared" si="15"/>
        <v>1.032</v>
      </c>
      <c r="Q112" s="252">
        <f t="shared" si="16"/>
        <v>1.0349999999999999</v>
      </c>
      <c r="R112" s="81">
        <f>PRODUCT(E112:Q112)</f>
        <v>1.3319480854780448</v>
      </c>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row>
    <row r="113" spans="1:247" x14ac:dyDescent="0.35">
      <c r="A113" s="244">
        <v>3201</v>
      </c>
      <c r="B113" s="233" t="s">
        <v>2099</v>
      </c>
      <c r="C113" s="186" t="s">
        <v>108</v>
      </c>
      <c r="D113" s="245" t="s">
        <v>2001</v>
      </c>
      <c r="E113" s="119">
        <f t="shared" si="19"/>
        <v>1.0740000000000001</v>
      </c>
      <c r="F113" s="75">
        <f>+$F$3</f>
        <v>1.0209999999999999</v>
      </c>
      <c r="G113" s="252">
        <f t="shared" si="17"/>
        <v>1.0269999999999999</v>
      </c>
      <c r="H113" s="119">
        <f t="shared" si="20"/>
        <v>1.0029999999999999</v>
      </c>
      <c r="I113" s="234">
        <f t="shared" si="21"/>
        <v>1.0289999999999999</v>
      </c>
      <c r="J113" s="234">
        <f t="shared" si="22"/>
        <v>1.0049999999999999</v>
      </c>
      <c r="K113" s="234">
        <f t="shared" si="23"/>
        <v>1.026</v>
      </c>
      <c r="L113" s="234">
        <f t="shared" si="24"/>
        <v>1.0129999999999999</v>
      </c>
      <c r="M113" s="234">
        <f t="shared" si="25"/>
        <v>1.0029999999999999</v>
      </c>
      <c r="N113" s="252">
        <f t="shared" si="18"/>
        <v>1.0029999999999999</v>
      </c>
      <c r="O113" s="80">
        <f t="shared" si="26"/>
        <v>1.0209999999999999</v>
      </c>
      <c r="P113" s="119">
        <f>+$P$3</f>
        <v>1.032</v>
      </c>
      <c r="Q113" s="252">
        <f>+$Q$3</f>
        <v>1.0349999999999999</v>
      </c>
      <c r="R113" s="81">
        <f>PRODUCT(E113:Q113)</f>
        <v>1.3319480854780448</v>
      </c>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row>
    <row r="114" spans="1:247" x14ac:dyDescent="0.35">
      <c r="A114" s="244">
        <v>3903</v>
      </c>
      <c r="B114" s="233" t="s">
        <v>2100</v>
      </c>
      <c r="C114" s="186" t="s">
        <v>40</v>
      </c>
      <c r="D114" s="245" t="s">
        <v>1993</v>
      </c>
      <c r="E114" s="119">
        <f>+$E$3</f>
        <v>1.0740000000000001</v>
      </c>
      <c r="F114" s="75">
        <f>+$F$3</f>
        <v>1.0209999999999999</v>
      </c>
      <c r="G114" s="252">
        <f>+$G$3</f>
        <v>1.0269999999999999</v>
      </c>
      <c r="H114" s="119"/>
      <c r="I114" s="234"/>
      <c r="J114" s="234"/>
      <c r="K114" s="234"/>
      <c r="L114" s="234">
        <f>+$L$3</f>
        <v>1.0129999999999999</v>
      </c>
      <c r="M114" s="234"/>
      <c r="N114" s="252"/>
      <c r="O114" s="80"/>
      <c r="P114" s="119">
        <f>+$P$3</f>
        <v>1.032</v>
      </c>
      <c r="Q114" s="252">
        <f>+$Q$3</f>
        <v>1.0349999999999999</v>
      </c>
      <c r="R114" s="81">
        <f>PRODUCT(E114:Q114)</f>
        <v>1.2185124180109259</v>
      </c>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row>
    <row r="115" spans="1:247" x14ac:dyDescent="0.35">
      <c r="A115" s="244">
        <v>4114</v>
      </c>
      <c r="B115" s="233" t="s">
        <v>2101</v>
      </c>
      <c r="C115" s="186" t="s">
        <v>113</v>
      </c>
      <c r="D115" s="245" t="s">
        <v>1993</v>
      </c>
      <c r="E115" s="119"/>
      <c r="F115" s="75">
        <f t="shared" si="0"/>
        <v>1.0209999999999999</v>
      </c>
      <c r="G115" s="252"/>
      <c r="H115" s="119"/>
      <c r="I115" s="234"/>
      <c r="J115" s="234"/>
      <c r="K115" s="234"/>
      <c r="L115" s="234"/>
      <c r="M115" s="234"/>
      <c r="N115" s="252"/>
      <c r="O115" s="80"/>
      <c r="P115" s="119"/>
      <c r="Q115" s="252"/>
      <c r="R115" s="81">
        <f t="shared" si="1"/>
        <v>1.0209999999999999</v>
      </c>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row>
    <row r="116" spans="1:247" x14ac:dyDescent="0.35">
      <c r="A116" s="244">
        <v>4212</v>
      </c>
      <c r="B116" s="233" t="s">
        <v>2102</v>
      </c>
      <c r="C116" s="186" t="s">
        <v>108</v>
      </c>
      <c r="D116" s="245" t="s">
        <v>2001</v>
      </c>
      <c r="E116" s="119"/>
      <c r="F116" s="75">
        <f t="shared" si="0"/>
        <v>1.0209999999999999</v>
      </c>
      <c r="G116" s="252">
        <f>+$G$3</f>
        <v>1.0269999999999999</v>
      </c>
      <c r="H116" s="119">
        <f>+$H$3</f>
        <v>1.0029999999999999</v>
      </c>
      <c r="I116" s="234">
        <f>+$I$3</f>
        <v>1.0289999999999999</v>
      </c>
      <c r="J116" s="234">
        <f>+$J$3</f>
        <v>1.0049999999999999</v>
      </c>
      <c r="K116" s="234"/>
      <c r="L116" s="234"/>
      <c r="M116" s="234">
        <f>+$M$3</f>
        <v>1.0029999999999999</v>
      </c>
      <c r="N116" s="252">
        <f>+$N$3</f>
        <v>1.0029999999999999</v>
      </c>
      <c r="O116" s="80">
        <f>+$O$3</f>
        <v>1.0209999999999999</v>
      </c>
      <c r="P116" s="119">
        <f>+$P$3</f>
        <v>1.032</v>
      </c>
      <c r="Q116" s="252">
        <f>+$Q$3</f>
        <v>1.0349999999999999</v>
      </c>
      <c r="R116" s="81">
        <f t="shared" si="1"/>
        <v>1.1932356231980656</v>
      </c>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row>
    <row r="117" spans="1:247" x14ac:dyDescent="0.35">
      <c r="A117" s="244">
        <v>4231</v>
      </c>
      <c r="B117" s="233" t="s">
        <v>2103</v>
      </c>
      <c r="C117" s="186" t="s">
        <v>113</v>
      </c>
      <c r="D117" s="245" t="s">
        <v>1993</v>
      </c>
      <c r="E117" s="119"/>
      <c r="F117" s="75">
        <f t="shared" si="0"/>
        <v>1.0209999999999999</v>
      </c>
      <c r="G117" s="252"/>
      <c r="H117" s="119"/>
      <c r="I117" s="234"/>
      <c r="J117" s="234"/>
      <c r="K117" s="234"/>
      <c r="L117" s="234"/>
      <c r="M117" s="234"/>
      <c r="N117" s="252"/>
      <c r="O117" s="80"/>
      <c r="P117" s="119"/>
      <c r="Q117" s="252"/>
      <c r="R117" s="81">
        <f t="shared" si="1"/>
        <v>1.0209999999999999</v>
      </c>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row>
    <row r="118" spans="1:247" x14ac:dyDescent="0.35">
      <c r="A118" s="244">
        <v>4251</v>
      </c>
      <c r="B118" s="233" t="s">
        <v>2104</v>
      </c>
      <c r="C118" s="186" t="s">
        <v>4</v>
      </c>
      <c r="D118" s="245" t="s">
        <v>1993</v>
      </c>
      <c r="E118" s="119"/>
      <c r="F118" s="75">
        <f t="shared" si="0"/>
        <v>1.0209999999999999</v>
      </c>
      <c r="G118" s="252"/>
      <c r="H118" s="119"/>
      <c r="I118" s="234"/>
      <c r="J118" s="234"/>
      <c r="K118" s="234"/>
      <c r="L118" s="234"/>
      <c r="M118" s="234"/>
      <c r="N118" s="252"/>
      <c r="O118" s="80"/>
      <c r="P118" s="119">
        <f t="shared" ref="P118:P134" si="27">+$P$3</f>
        <v>1.032</v>
      </c>
      <c r="Q118" s="252">
        <f t="shared" ref="Q118:Q134" si="28">+$Q$3</f>
        <v>1.0349999999999999</v>
      </c>
      <c r="R118" s="81">
        <f t="shared" si="1"/>
        <v>1.0905505199999999</v>
      </c>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row>
    <row r="119" spans="1:247" x14ac:dyDescent="0.35">
      <c r="A119" s="244">
        <v>4311</v>
      </c>
      <c r="B119" s="233" t="s">
        <v>2105</v>
      </c>
      <c r="C119" s="186" t="s">
        <v>108</v>
      </c>
      <c r="D119" s="245" t="s">
        <v>2001</v>
      </c>
      <c r="E119" s="119"/>
      <c r="F119" s="75">
        <f t="shared" si="0"/>
        <v>1.0209999999999999</v>
      </c>
      <c r="G119" s="252">
        <f>+$G$3</f>
        <v>1.0269999999999999</v>
      </c>
      <c r="H119" s="119">
        <f>+$H$3</f>
        <v>1.0029999999999999</v>
      </c>
      <c r="I119" s="234">
        <f>+$I$3</f>
        <v>1.0289999999999999</v>
      </c>
      <c r="J119" s="234">
        <f>+$J$3</f>
        <v>1.0049999999999999</v>
      </c>
      <c r="K119" s="234"/>
      <c r="L119" s="234"/>
      <c r="M119" s="234">
        <f>+$M$3</f>
        <v>1.0029999999999999</v>
      </c>
      <c r="N119" s="252">
        <f>+$N$3</f>
        <v>1.0029999999999999</v>
      </c>
      <c r="O119" s="80"/>
      <c r="P119" s="119">
        <f t="shared" si="27"/>
        <v>1.032</v>
      </c>
      <c r="Q119" s="252">
        <f t="shared" si="28"/>
        <v>1.0349999999999999</v>
      </c>
      <c r="R119" s="81">
        <f t="shared" si="1"/>
        <v>1.168693068754227</v>
      </c>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row>
    <row r="120" spans="1:247" x14ac:dyDescent="0.35">
      <c r="A120" s="244">
        <v>4321</v>
      </c>
      <c r="B120" s="233" t="s">
        <v>2106</v>
      </c>
      <c r="C120" s="186" t="s">
        <v>108</v>
      </c>
      <c r="D120" s="245" t="s">
        <v>2001</v>
      </c>
      <c r="E120" s="119"/>
      <c r="F120" s="75">
        <f t="shared" si="0"/>
        <v>1.0209999999999999</v>
      </c>
      <c r="G120" s="252">
        <f>+$G$3</f>
        <v>1.0269999999999999</v>
      </c>
      <c r="H120" s="119"/>
      <c r="I120" s="234">
        <f>+$I$3</f>
        <v>1.0289999999999999</v>
      </c>
      <c r="J120" s="234">
        <f>+$J$3</f>
        <v>1.0049999999999999</v>
      </c>
      <c r="K120" s="234"/>
      <c r="L120" s="234"/>
      <c r="M120" s="234">
        <f>+$M$3</f>
        <v>1.0029999999999999</v>
      </c>
      <c r="N120" s="252">
        <f>+$N$3</f>
        <v>1.0029999999999999</v>
      </c>
      <c r="O120" s="80"/>
      <c r="P120" s="119">
        <f t="shared" si="27"/>
        <v>1.032</v>
      </c>
      <c r="Q120" s="252">
        <f t="shared" si="28"/>
        <v>1.0349999999999999</v>
      </c>
      <c r="R120" s="81">
        <f t="shared" si="1"/>
        <v>1.1651974763252515</v>
      </c>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row>
    <row r="121" spans="1:247" x14ac:dyDescent="0.35">
      <c r="A121" s="244">
        <v>4414</v>
      </c>
      <c r="B121" s="233" t="s">
        <v>2107</v>
      </c>
      <c r="C121" s="186" t="s">
        <v>108</v>
      </c>
      <c r="D121" s="245" t="s">
        <v>2001</v>
      </c>
      <c r="E121" s="119"/>
      <c r="F121" s="75">
        <f t="shared" si="0"/>
        <v>1.0209999999999999</v>
      </c>
      <c r="G121" s="252">
        <f>+$G$3</f>
        <v>1.0269999999999999</v>
      </c>
      <c r="H121" s="119">
        <f>+$H$3</f>
        <v>1.0029999999999999</v>
      </c>
      <c r="I121" s="234">
        <f>+$I$3</f>
        <v>1.0289999999999999</v>
      </c>
      <c r="J121" s="234">
        <f>+$J$3</f>
        <v>1.0049999999999999</v>
      </c>
      <c r="K121" s="234"/>
      <c r="L121" s="234"/>
      <c r="M121" s="234">
        <f>+$M$3</f>
        <v>1.0029999999999999</v>
      </c>
      <c r="N121" s="252">
        <f>+$N$3</f>
        <v>1.0029999999999999</v>
      </c>
      <c r="O121" s="80"/>
      <c r="P121" s="119">
        <f t="shared" si="27"/>
        <v>1.032</v>
      </c>
      <c r="Q121" s="252">
        <f t="shared" si="28"/>
        <v>1.0349999999999999</v>
      </c>
      <c r="R121" s="81">
        <f t="shared" si="1"/>
        <v>1.168693068754227</v>
      </c>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row>
    <row r="122" spans="1:247" x14ac:dyDescent="0.35">
      <c r="A122" s="244">
        <v>4424</v>
      </c>
      <c r="B122" s="233" t="s">
        <v>2108</v>
      </c>
      <c r="C122" s="186" t="s">
        <v>108</v>
      </c>
      <c r="D122" s="245" t="s">
        <v>2001</v>
      </c>
      <c r="E122" s="119"/>
      <c r="F122" s="75">
        <f t="shared" si="0"/>
        <v>1.0209999999999999</v>
      </c>
      <c r="G122" s="252">
        <f>+$G$3</f>
        <v>1.0269999999999999</v>
      </c>
      <c r="H122" s="119">
        <f>+$H$3</f>
        <v>1.0029999999999999</v>
      </c>
      <c r="I122" s="234">
        <f>+$I$3</f>
        <v>1.0289999999999999</v>
      </c>
      <c r="J122" s="234">
        <f>+$J$3</f>
        <v>1.0049999999999999</v>
      </c>
      <c r="K122" s="234"/>
      <c r="L122" s="234"/>
      <c r="M122" s="234">
        <f>+$M$3</f>
        <v>1.0029999999999999</v>
      </c>
      <c r="N122" s="252">
        <f>+$N$3</f>
        <v>1.0029999999999999</v>
      </c>
      <c r="O122" s="80"/>
      <c r="P122" s="119">
        <f t="shared" si="27"/>
        <v>1.032</v>
      </c>
      <c r="Q122" s="252">
        <f t="shared" si="28"/>
        <v>1.0349999999999999</v>
      </c>
      <c r="R122" s="81">
        <f t="shared" si="1"/>
        <v>1.168693068754227</v>
      </c>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row>
    <row r="123" spans="1:247" x14ac:dyDescent="0.35">
      <c r="A123" s="244">
        <v>4425</v>
      </c>
      <c r="B123" s="233" t="s">
        <v>2109</v>
      </c>
      <c r="C123" s="186" t="s">
        <v>108</v>
      </c>
      <c r="D123" s="245" t="s">
        <v>2001</v>
      </c>
      <c r="E123" s="119"/>
      <c r="F123" s="75">
        <f t="shared" si="0"/>
        <v>1.0209999999999999</v>
      </c>
      <c r="G123" s="252">
        <f>+$G$3</f>
        <v>1.0269999999999999</v>
      </c>
      <c r="H123" s="119"/>
      <c r="I123" s="234"/>
      <c r="J123" s="234">
        <f>+$J$3</f>
        <v>1.0049999999999999</v>
      </c>
      <c r="K123" s="234"/>
      <c r="L123" s="234"/>
      <c r="M123" s="234"/>
      <c r="N123" s="252"/>
      <c r="O123" s="80"/>
      <c r="P123" s="119">
        <f t="shared" si="27"/>
        <v>1.032</v>
      </c>
      <c r="Q123" s="252">
        <f t="shared" si="28"/>
        <v>1.0349999999999999</v>
      </c>
      <c r="R123" s="81">
        <f t="shared" si="1"/>
        <v>1.1255953609601996</v>
      </c>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row>
    <row r="124" spans="1:247" x14ac:dyDescent="0.35">
      <c r="A124" s="244">
        <v>4426</v>
      </c>
      <c r="B124" s="233" t="s">
        <v>2110</v>
      </c>
      <c r="C124" s="186" t="s">
        <v>108</v>
      </c>
      <c r="D124" s="245" t="s">
        <v>2001</v>
      </c>
      <c r="E124" s="119"/>
      <c r="F124" s="75">
        <f t="shared" si="0"/>
        <v>1.0209999999999999</v>
      </c>
      <c r="G124" s="252"/>
      <c r="H124" s="119"/>
      <c r="I124" s="234"/>
      <c r="J124" s="234"/>
      <c r="K124" s="234"/>
      <c r="L124" s="234"/>
      <c r="M124" s="234"/>
      <c r="N124" s="252"/>
      <c r="O124" s="80"/>
      <c r="P124" s="119">
        <f t="shared" si="27"/>
        <v>1.032</v>
      </c>
      <c r="Q124" s="252">
        <f t="shared" si="28"/>
        <v>1.0349999999999999</v>
      </c>
      <c r="R124" s="81">
        <f t="shared" si="1"/>
        <v>1.0905505199999999</v>
      </c>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row>
    <row r="125" spans="1:247" x14ac:dyDescent="0.35">
      <c r="A125" s="244">
        <v>4428</v>
      </c>
      <c r="B125" s="233" t="s">
        <v>2111</v>
      </c>
      <c r="C125" s="186" t="s">
        <v>108</v>
      </c>
      <c r="D125" s="245" t="s">
        <v>2001</v>
      </c>
      <c r="E125" s="119"/>
      <c r="F125" s="75">
        <f t="shared" si="0"/>
        <v>1.0209999999999999</v>
      </c>
      <c r="G125" s="252"/>
      <c r="H125" s="119"/>
      <c r="I125" s="234"/>
      <c r="J125" s="234">
        <f>+$J$3</f>
        <v>1.0049999999999999</v>
      </c>
      <c r="K125" s="234"/>
      <c r="L125" s="234"/>
      <c r="M125" s="234">
        <f>+$M$3</f>
        <v>1.0029999999999999</v>
      </c>
      <c r="N125" s="252">
        <f>+$N$3</f>
        <v>1.0029999999999999</v>
      </c>
      <c r="O125" s="80"/>
      <c r="P125" s="119">
        <f t="shared" si="27"/>
        <v>1.032</v>
      </c>
      <c r="Q125" s="252">
        <f t="shared" si="28"/>
        <v>1.0349999999999999</v>
      </c>
      <c r="R125" s="81">
        <f t="shared" si="1"/>
        <v>1.1025891562650529</v>
      </c>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row>
    <row r="126" spans="1:247" x14ac:dyDescent="0.35">
      <c r="A126" s="244">
        <v>4511</v>
      </c>
      <c r="B126" s="233" t="s">
        <v>2112</v>
      </c>
      <c r="C126" s="186" t="s">
        <v>4</v>
      </c>
      <c r="D126" s="245" t="s">
        <v>1993</v>
      </c>
      <c r="E126" s="119"/>
      <c r="F126" s="75">
        <f t="shared" si="0"/>
        <v>1.0209999999999999</v>
      </c>
      <c r="G126" s="252"/>
      <c r="H126" s="119"/>
      <c r="I126" s="234"/>
      <c r="J126" s="234"/>
      <c r="K126" s="234"/>
      <c r="L126" s="234"/>
      <c r="M126" s="234"/>
      <c r="N126" s="252"/>
      <c r="O126" s="80"/>
      <c r="P126" s="119">
        <f t="shared" si="27"/>
        <v>1.032</v>
      </c>
      <c r="Q126" s="252">
        <f t="shared" si="28"/>
        <v>1.0349999999999999</v>
      </c>
      <c r="R126" s="81">
        <f>PRODUCT(E126:Q126)</f>
        <v>1.0905505199999999</v>
      </c>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row>
    <row r="127" spans="1:247" x14ac:dyDescent="0.35">
      <c r="A127" s="244">
        <v>4521</v>
      </c>
      <c r="B127" s="233" t="s">
        <v>2113</v>
      </c>
      <c r="C127" s="186" t="s">
        <v>4</v>
      </c>
      <c r="D127" s="245" t="s">
        <v>1993</v>
      </c>
      <c r="E127" s="119"/>
      <c r="F127" s="75">
        <f t="shared" si="0"/>
        <v>1.0209999999999999</v>
      </c>
      <c r="G127" s="252"/>
      <c r="H127" s="119"/>
      <c r="I127" s="234"/>
      <c r="J127" s="234"/>
      <c r="K127" s="234"/>
      <c r="L127" s="234"/>
      <c r="M127" s="234"/>
      <c r="N127" s="252"/>
      <c r="O127" s="80"/>
      <c r="P127" s="119">
        <f t="shared" si="27"/>
        <v>1.032</v>
      </c>
      <c r="Q127" s="252">
        <f t="shared" si="28"/>
        <v>1.0349999999999999</v>
      </c>
      <c r="R127" s="81">
        <f>PRODUCT(E127:Q127)</f>
        <v>1.0905505199999999</v>
      </c>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row>
    <row r="128" spans="1:247" x14ac:dyDescent="0.35">
      <c r="A128" s="244">
        <v>5302</v>
      </c>
      <c r="B128" s="233" t="s">
        <v>2114</v>
      </c>
      <c r="C128" s="186" t="s">
        <v>108</v>
      </c>
      <c r="D128" s="245" t="s">
        <v>2001</v>
      </c>
      <c r="E128" s="119">
        <f>+$E$3</f>
        <v>1.0740000000000001</v>
      </c>
      <c r="F128" s="75">
        <f t="shared" si="0"/>
        <v>1.0209999999999999</v>
      </c>
      <c r="G128" s="252">
        <f t="shared" ref="G128:G134" si="29">+$G$3</f>
        <v>1.0269999999999999</v>
      </c>
      <c r="H128" s="119">
        <f>+$H$3</f>
        <v>1.0029999999999999</v>
      </c>
      <c r="I128" s="234">
        <f>+$I$3</f>
        <v>1.0289999999999999</v>
      </c>
      <c r="J128" s="234">
        <f>+$J$3</f>
        <v>1.0049999999999999</v>
      </c>
      <c r="K128" s="234">
        <f>+$K$3</f>
        <v>1.026</v>
      </c>
      <c r="L128" s="234">
        <f>+$L$3</f>
        <v>1.0129999999999999</v>
      </c>
      <c r="M128" s="234">
        <f>+$M$3</f>
        <v>1.0029999999999999</v>
      </c>
      <c r="N128" s="252">
        <f>+$N$3</f>
        <v>1.0029999999999999</v>
      </c>
      <c r="O128" s="80">
        <f>+$O$3</f>
        <v>1.0209999999999999</v>
      </c>
      <c r="P128" s="119">
        <f t="shared" si="27"/>
        <v>1.032</v>
      </c>
      <c r="Q128" s="252">
        <f t="shared" si="28"/>
        <v>1.0349999999999999</v>
      </c>
      <c r="R128" s="81">
        <f t="shared" si="1"/>
        <v>1.3319480854780448</v>
      </c>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row>
    <row r="129" spans="1:247" x14ac:dyDescent="0.35">
      <c r="A129" s="244">
        <v>5303</v>
      </c>
      <c r="B129" s="233" t="s">
        <v>2115</v>
      </c>
      <c r="C129" s="186" t="s">
        <v>108</v>
      </c>
      <c r="D129" s="245" t="s">
        <v>2001</v>
      </c>
      <c r="E129" s="119">
        <f>+$E$3</f>
        <v>1.0740000000000001</v>
      </c>
      <c r="F129" s="75">
        <f t="shared" si="0"/>
        <v>1.0209999999999999</v>
      </c>
      <c r="G129" s="252">
        <f t="shared" si="29"/>
        <v>1.0269999999999999</v>
      </c>
      <c r="H129" s="119">
        <f>+$H$3</f>
        <v>1.0029999999999999</v>
      </c>
      <c r="I129" s="234">
        <f>+$I$3</f>
        <v>1.0289999999999999</v>
      </c>
      <c r="J129" s="234">
        <f>+$J$3</f>
        <v>1.0049999999999999</v>
      </c>
      <c r="K129" s="234">
        <f>+$K$3</f>
        <v>1.026</v>
      </c>
      <c r="L129" s="234">
        <f>+$L$3</f>
        <v>1.0129999999999999</v>
      </c>
      <c r="M129" s="234">
        <f>+$M$3</f>
        <v>1.0029999999999999</v>
      </c>
      <c r="N129" s="252">
        <f>+$N$3</f>
        <v>1.0029999999999999</v>
      </c>
      <c r="O129" s="80">
        <f>+$O$3</f>
        <v>1.0209999999999999</v>
      </c>
      <c r="P129" s="119">
        <f t="shared" si="27"/>
        <v>1.032</v>
      </c>
      <c r="Q129" s="252">
        <f t="shared" si="28"/>
        <v>1.0349999999999999</v>
      </c>
      <c r="R129" s="81">
        <f t="shared" si="1"/>
        <v>1.3319480854780448</v>
      </c>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row>
    <row r="130" spans="1:247" x14ac:dyDescent="0.35">
      <c r="A130" s="244">
        <v>5304</v>
      </c>
      <c r="B130" s="233" t="s">
        <v>2116</v>
      </c>
      <c r="C130" s="186" t="s">
        <v>108</v>
      </c>
      <c r="D130" s="245" t="s">
        <v>2001</v>
      </c>
      <c r="E130" s="119">
        <f>+$E$3</f>
        <v>1.0740000000000001</v>
      </c>
      <c r="F130" s="75">
        <f t="shared" si="0"/>
        <v>1.0209999999999999</v>
      </c>
      <c r="G130" s="252">
        <f t="shared" si="29"/>
        <v>1.0269999999999999</v>
      </c>
      <c r="H130" s="119">
        <f>+$H$3</f>
        <v>1.0029999999999999</v>
      </c>
      <c r="I130" s="234">
        <f>+$I$3</f>
        <v>1.0289999999999999</v>
      </c>
      <c r="J130" s="234">
        <f>+$J$3</f>
        <v>1.0049999999999999</v>
      </c>
      <c r="K130" s="234">
        <f>+$K$3</f>
        <v>1.026</v>
      </c>
      <c r="L130" s="234">
        <f>+$L$3</f>
        <v>1.0129999999999999</v>
      </c>
      <c r="M130" s="234">
        <f>+$M$3</f>
        <v>1.0029999999999999</v>
      </c>
      <c r="N130" s="252">
        <f>+$N$3</f>
        <v>1.0029999999999999</v>
      </c>
      <c r="O130" s="80">
        <f>+$O$3</f>
        <v>1.0209999999999999</v>
      </c>
      <c r="P130" s="119">
        <f t="shared" si="27"/>
        <v>1.032</v>
      </c>
      <c r="Q130" s="252">
        <f t="shared" si="28"/>
        <v>1.0349999999999999</v>
      </c>
      <c r="R130" s="81">
        <f t="shared" si="1"/>
        <v>1.3319480854780448</v>
      </c>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row>
    <row r="131" spans="1:247" x14ac:dyDescent="0.35">
      <c r="A131" s="244">
        <v>5306</v>
      </c>
      <c r="B131" s="233" t="s">
        <v>2117</v>
      </c>
      <c r="C131" s="186" t="s">
        <v>108</v>
      </c>
      <c r="D131" s="245" t="s">
        <v>2001</v>
      </c>
      <c r="E131" s="119">
        <f>+$E$3</f>
        <v>1.0740000000000001</v>
      </c>
      <c r="F131" s="75">
        <f t="shared" si="0"/>
        <v>1.0209999999999999</v>
      </c>
      <c r="G131" s="252">
        <f t="shared" si="29"/>
        <v>1.0269999999999999</v>
      </c>
      <c r="H131" s="119">
        <f>+$H$3</f>
        <v>1.0029999999999999</v>
      </c>
      <c r="I131" s="234">
        <f>+$I$3</f>
        <v>1.0289999999999999</v>
      </c>
      <c r="J131" s="234">
        <f>+$J$3</f>
        <v>1.0049999999999999</v>
      </c>
      <c r="K131" s="234"/>
      <c r="L131" s="234">
        <f>+$L$3</f>
        <v>1.0129999999999999</v>
      </c>
      <c r="M131" s="234">
        <f>+$M$3</f>
        <v>1.0029999999999999</v>
      </c>
      <c r="N131" s="252">
        <f>+$N$3</f>
        <v>1.0029999999999999</v>
      </c>
      <c r="O131" s="80">
        <f>+$O$3</f>
        <v>1.0209999999999999</v>
      </c>
      <c r="P131" s="119">
        <f t="shared" si="27"/>
        <v>1.032</v>
      </c>
      <c r="Q131" s="252">
        <f t="shared" si="28"/>
        <v>1.0349999999999999</v>
      </c>
      <c r="R131" s="81">
        <f t="shared" si="1"/>
        <v>1.2981950150858137</v>
      </c>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row>
    <row r="132" spans="1:247" x14ac:dyDescent="0.35">
      <c r="A132" s="244">
        <v>5307</v>
      </c>
      <c r="B132" s="233" t="s">
        <v>2118</v>
      </c>
      <c r="C132" s="186" t="s">
        <v>108</v>
      </c>
      <c r="D132" s="245" t="s">
        <v>2001</v>
      </c>
      <c r="E132" s="119"/>
      <c r="F132" s="75">
        <f t="shared" si="0"/>
        <v>1.0209999999999999</v>
      </c>
      <c r="G132" s="252">
        <f t="shared" si="29"/>
        <v>1.0269999999999999</v>
      </c>
      <c r="H132" s="119"/>
      <c r="I132" s="234"/>
      <c r="J132" s="234"/>
      <c r="K132" s="234"/>
      <c r="L132" s="234"/>
      <c r="M132" s="234"/>
      <c r="N132" s="252"/>
      <c r="O132" s="80"/>
      <c r="P132" s="119">
        <f t="shared" si="27"/>
        <v>1.032</v>
      </c>
      <c r="Q132" s="252">
        <f t="shared" si="28"/>
        <v>1.0349999999999999</v>
      </c>
      <c r="R132" s="81">
        <f t="shared" si="1"/>
        <v>1.1199953840399997</v>
      </c>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row>
    <row r="133" spans="1:247" x14ac:dyDescent="0.35">
      <c r="A133" s="244">
        <v>6103</v>
      </c>
      <c r="B133" s="233" t="s">
        <v>2119</v>
      </c>
      <c r="C133" s="186" t="s">
        <v>108</v>
      </c>
      <c r="D133" s="245" t="s">
        <v>2001</v>
      </c>
      <c r="E133" s="119"/>
      <c r="F133" s="75">
        <f t="shared" si="0"/>
        <v>1.0209999999999999</v>
      </c>
      <c r="G133" s="252">
        <f t="shared" si="29"/>
        <v>1.0269999999999999</v>
      </c>
      <c r="H133" s="119">
        <f>+$H$3</f>
        <v>1.0029999999999999</v>
      </c>
      <c r="I133" s="234">
        <f>+$I$3</f>
        <v>1.0289999999999999</v>
      </c>
      <c r="J133" s="234">
        <f>+$J$3</f>
        <v>1.0049999999999999</v>
      </c>
      <c r="K133" s="234"/>
      <c r="L133" s="234"/>
      <c r="M133" s="234"/>
      <c r="N133" s="252"/>
      <c r="O133" s="80">
        <f>+$O$3</f>
        <v>1.0209999999999999</v>
      </c>
      <c r="P133" s="119">
        <f t="shared" si="27"/>
        <v>1.032</v>
      </c>
      <c r="Q133" s="252">
        <f t="shared" si="28"/>
        <v>1.0349999999999999</v>
      </c>
      <c r="R133" s="81">
        <f t="shared" si="1"/>
        <v>1.1861082984327833</v>
      </c>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row>
    <row r="134" spans="1:247" x14ac:dyDescent="0.35">
      <c r="A134" s="244">
        <v>6107</v>
      </c>
      <c r="B134" s="233" t="s">
        <v>2120</v>
      </c>
      <c r="C134" s="186" t="s">
        <v>108</v>
      </c>
      <c r="D134" s="245" t="s">
        <v>2001</v>
      </c>
      <c r="E134" s="119">
        <f>+$E$3</f>
        <v>1.0740000000000001</v>
      </c>
      <c r="F134" s="75">
        <f t="shared" si="0"/>
        <v>1.0209999999999999</v>
      </c>
      <c r="G134" s="252">
        <f t="shared" si="29"/>
        <v>1.0269999999999999</v>
      </c>
      <c r="H134" s="119">
        <f>+$H$3</f>
        <v>1.0029999999999999</v>
      </c>
      <c r="I134" s="234">
        <f>+$I$3</f>
        <v>1.0289999999999999</v>
      </c>
      <c r="J134" s="234">
        <f>+$J$3</f>
        <v>1.0049999999999999</v>
      </c>
      <c r="K134" s="234">
        <f>+$K$3</f>
        <v>1.026</v>
      </c>
      <c r="L134" s="234">
        <f>+$L$3</f>
        <v>1.0129999999999999</v>
      </c>
      <c r="M134" s="234">
        <f>+$M$3</f>
        <v>1.0029999999999999</v>
      </c>
      <c r="N134" s="252">
        <f>+$N$3</f>
        <v>1.0029999999999999</v>
      </c>
      <c r="O134" s="80">
        <f>+$O$3</f>
        <v>1.0209999999999999</v>
      </c>
      <c r="P134" s="119">
        <f t="shared" si="27"/>
        <v>1.032</v>
      </c>
      <c r="Q134" s="252">
        <f t="shared" si="28"/>
        <v>1.0349999999999999</v>
      </c>
      <c r="R134" s="81">
        <f>PRODUCT(E134:Q134)</f>
        <v>1.3319480854780448</v>
      </c>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row>
    <row r="135" spans="1:247" x14ac:dyDescent="0.35">
      <c r="A135" s="244">
        <v>6900</v>
      </c>
      <c r="B135" s="233" t="s">
        <v>2121</v>
      </c>
      <c r="C135" s="186" t="s">
        <v>40</v>
      </c>
      <c r="D135" s="245" t="s">
        <v>1993</v>
      </c>
      <c r="E135" s="119"/>
      <c r="F135" s="75">
        <f t="shared" si="0"/>
        <v>1.0209999999999999</v>
      </c>
      <c r="G135" s="252"/>
      <c r="H135" s="119"/>
      <c r="I135" s="234"/>
      <c r="J135" s="234"/>
      <c r="K135" s="234"/>
      <c r="L135" s="234"/>
      <c r="M135" s="234"/>
      <c r="N135" s="252"/>
      <c r="O135" s="80"/>
      <c r="P135" s="119"/>
      <c r="Q135" s="252"/>
      <c r="R135" s="81">
        <f t="shared" si="1"/>
        <v>1.0209999999999999</v>
      </c>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row>
    <row r="136" spans="1:247" x14ac:dyDescent="0.35">
      <c r="A136" s="244">
        <v>7120</v>
      </c>
      <c r="B136" s="233" t="s">
        <v>2122</v>
      </c>
      <c r="C136" s="186" t="s">
        <v>108</v>
      </c>
      <c r="D136" s="245" t="s">
        <v>2001</v>
      </c>
      <c r="E136" s="119"/>
      <c r="F136" s="75">
        <f t="shared" si="0"/>
        <v>1.0209999999999999</v>
      </c>
      <c r="G136" s="252"/>
      <c r="H136" s="119"/>
      <c r="I136" s="234"/>
      <c r="J136" s="234"/>
      <c r="K136" s="234"/>
      <c r="L136" s="234"/>
      <c r="M136" s="234"/>
      <c r="N136" s="252"/>
      <c r="O136" s="80"/>
      <c r="P136" s="119"/>
      <c r="Q136" s="252"/>
      <c r="R136" s="81">
        <f t="shared" si="1"/>
        <v>1.0209999999999999</v>
      </c>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row>
    <row r="137" spans="1:247" x14ac:dyDescent="0.35">
      <c r="A137" s="244">
        <v>7130</v>
      </c>
      <c r="B137" s="233" t="s">
        <v>2123</v>
      </c>
      <c r="C137" s="186" t="s">
        <v>4</v>
      </c>
      <c r="D137" s="245" t="s">
        <v>1996</v>
      </c>
      <c r="E137" s="119"/>
      <c r="F137" s="75">
        <f t="shared" si="0"/>
        <v>1.0209999999999999</v>
      </c>
      <c r="G137" s="252"/>
      <c r="H137" s="119"/>
      <c r="I137" s="234"/>
      <c r="J137" s="234"/>
      <c r="K137" s="234"/>
      <c r="L137" s="234"/>
      <c r="M137" s="234"/>
      <c r="N137" s="252"/>
      <c r="O137" s="80"/>
      <c r="P137" s="119"/>
      <c r="Q137" s="252"/>
      <c r="R137" s="81">
        <f t="shared" si="1"/>
        <v>1.0209999999999999</v>
      </c>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row>
    <row r="138" spans="1:247" x14ac:dyDescent="0.35">
      <c r="A138" s="244">
        <v>7141</v>
      </c>
      <c r="B138" s="233" t="s">
        <v>2124</v>
      </c>
      <c r="C138" s="186" t="s">
        <v>108</v>
      </c>
      <c r="D138" s="245" t="s">
        <v>2001</v>
      </c>
      <c r="E138" s="119"/>
      <c r="F138" s="75">
        <f t="shared" ref="F138:F208" si="30">+$F$3</f>
        <v>1.0209999999999999</v>
      </c>
      <c r="G138" s="252"/>
      <c r="H138" s="119"/>
      <c r="I138" s="234"/>
      <c r="J138" s="234"/>
      <c r="K138" s="234"/>
      <c r="L138" s="234"/>
      <c r="M138" s="234"/>
      <c r="N138" s="252"/>
      <c r="O138" s="80"/>
      <c r="P138" s="119">
        <f>+$P$3</f>
        <v>1.032</v>
      </c>
      <c r="Q138" s="252">
        <f>+$Q$3</f>
        <v>1.0349999999999999</v>
      </c>
      <c r="R138" s="81">
        <f t="shared" ref="R138:R208" si="31">PRODUCT(E138:Q138)</f>
        <v>1.0905505199999999</v>
      </c>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row>
    <row r="139" spans="1:247" x14ac:dyDescent="0.35">
      <c r="A139" s="244">
        <v>7142</v>
      </c>
      <c r="B139" s="233" t="s">
        <v>2125</v>
      </c>
      <c r="C139" s="186" t="s">
        <v>108</v>
      </c>
      <c r="D139" s="245" t="s">
        <v>2001</v>
      </c>
      <c r="E139" s="119"/>
      <c r="F139" s="75">
        <f t="shared" si="30"/>
        <v>1.0209999999999999</v>
      </c>
      <c r="G139" s="252"/>
      <c r="H139" s="119"/>
      <c r="I139" s="234"/>
      <c r="J139" s="234"/>
      <c r="K139" s="234"/>
      <c r="L139" s="234"/>
      <c r="M139" s="234"/>
      <c r="N139" s="252"/>
      <c r="O139" s="80"/>
      <c r="P139" s="119"/>
      <c r="Q139" s="252"/>
      <c r="R139" s="81">
        <f t="shared" si="31"/>
        <v>1.0209999999999999</v>
      </c>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row>
    <row r="140" spans="1:247" x14ac:dyDescent="0.35">
      <c r="A140" s="244">
        <v>7143</v>
      </c>
      <c r="B140" s="233" t="s">
        <v>2126</v>
      </c>
      <c r="C140" s="186" t="s">
        <v>108</v>
      </c>
      <c r="D140" s="245" t="s">
        <v>2001</v>
      </c>
      <c r="E140" s="119"/>
      <c r="F140" s="75">
        <f t="shared" si="30"/>
        <v>1.0209999999999999</v>
      </c>
      <c r="G140" s="252"/>
      <c r="H140" s="119"/>
      <c r="I140" s="234"/>
      <c r="J140" s="234"/>
      <c r="K140" s="234"/>
      <c r="L140" s="234"/>
      <c r="M140" s="234"/>
      <c r="N140" s="252"/>
      <c r="O140" s="80"/>
      <c r="P140" s="119"/>
      <c r="Q140" s="252"/>
      <c r="R140" s="81">
        <f t="shared" si="31"/>
        <v>1.0209999999999999</v>
      </c>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row>
    <row r="141" spans="1:247" x14ac:dyDescent="0.35">
      <c r="A141" s="244">
        <v>7145</v>
      </c>
      <c r="B141" s="233" t="s">
        <v>2127</v>
      </c>
      <c r="C141" s="186" t="s">
        <v>108</v>
      </c>
      <c r="D141" s="245" t="s">
        <v>2001</v>
      </c>
      <c r="E141" s="119"/>
      <c r="F141" s="75">
        <f t="shared" si="30"/>
        <v>1.0209999999999999</v>
      </c>
      <c r="G141" s="252"/>
      <c r="H141" s="119"/>
      <c r="I141" s="234"/>
      <c r="J141" s="234"/>
      <c r="K141" s="234"/>
      <c r="L141" s="234"/>
      <c r="M141" s="234"/>
      <c r="N141" s="252"/>
      <c r="O141" s="80"/>
      <c r="P141" s="119"/>
      <c r="Q141" s="252"/>
      <c r="R141" s="81">
        <f t="shared" si="31"/>
        <v>1.0209999999999999</v>
      </c>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row>
    <row r="142" spans="1:247" x14ac:dyDescent="0.35">
      <c r="A142" s="244">
        <v>7147</v>
      </c>
      <c r="B142" s="233" t="s">
        <v>2128</v>
      </c>
      <c r="C142" s="186" t="s">
        <v>108</v>
      </c>
      <c r="D142" s="245" t="s">
        <v>1993</v>
      </c>
      <c r="E142" s="119"/>
      <c r="F142" s="75">
        <f t="shared" si="30"/>
        <v>1.0209999999999999</v>
      </c>
      <c r="G142" s="252"/>
      <c r="H142" s="119"/>
      <c r="I142" s="234"/>
      <c r="J142" s="234"/>
      <c r="K142" s="234"/>
      <c r="L142" s="234"/>
      <c r="M142" s="234"/>
      <c r="N142" s="252"/>
      <c r="O142" s="80"/>
      <c r="P142" s="119">
        <f>+$P$3</f>
        <v>1.032</v>
      </c>
      <c r="Q142" s="252">
        <f>+$Q$3</f>
        <v>1.0349999999999999</v>
      </c>
      <c r="R142" s="81">
        <f t="shared" si="31"/>
        <v>1.0905505199999999</v>
      </c>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row>
    <row r="143" spans="1:247" x14ac:dyDescent="0.35">
      <c r="A143" s="244">
        <v>7215</v>
      </c>
      <c r="B143" s="233" t="s">
        <v>2129</v>
      </c>
      <c r="C143" s="186" t="s">
        <v>108</v>
      </c>
      <c r="D143" s="245" t="s">
        <v>2001</v>
      </c>
      <c r="E143" s="119">
        <f>+$E$3</f>
        <v>1.0740000000000001</v>
      </c>
      <c r="F143" s="75">
        <f t="shared" si="30"/>
        <v>1.0209999999999999</v>
      </c>
      <c r="G143" s="252">
        <f>+$G$3</f>
        <v>1.0269999999999999</v>
      </c>
      <c r="H143" s="119">
        <f>+$H$3</f>
        <v>1.0029999999999999</v>
      </c>
      <c r="I143" s="234">
        <f>+$I$3</f>
        <v>1.0289999999999999</v>
      </c>
      <c r="J143" s="234">
        <f>+$J$3</f>
        <v>1.0049999999999999</v>
      </c>
      <c r="K143" s="234">
        <f>+$K$3</f>
        <v>1.026</v>
      </c>
      <c r="L143" s="234">
        <f>+$L$3</f>
        <v>1.0129999999999999</v>
      </c>
      <c r="M143" s="234">
        <f>+$M$3</f>
        <v>1.0029999999999999</v>
      </c>
      <c r="N143" s="252">
        <f>+$N$3</f>
        <v>1.0029999999999999</v>
      </c>
      <c r="O143" s="80">
        <f>+$O$3</f>
        <v>1.0209999999999999</v>
      </c>
      <c r="P143" s="119">
        <f>+$P$3</f>
        <v>1.032</v>
      </c>
      <c r="Q143" s="252">
        <f>+$Q$3</f>
        <v>1.0349999999999999</v>
      </c>
      <c r="R143" s="81">
        <f t="shared" si="31"/>
        <v>1.3319480854780448</v>
      </c>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row>
    <row r="144" spans="1:247" x14ac:dyDescent="0.35">
      <c r="A144" s="244">
        <v>7231</v>
      </c>
      <c r="B144" s="233" t="s">
        <v>2130</v>
      </c>
      <c r="C144" s="186" t="s">
        <v>108</v>
      </c>
      <c r="D144" s="245" t="s">
        <v>2001</v>
      </c>
      <c r="E144" s="119">
        <f>+$E$3</f>
        <v>1.0740000000000001</v>
      </c>
      <c r="F144" s="75">
        <f t="shared" si="30"/>
        <v>1.0209999999999999</v>
      </c>
      <c r="G144" s="252">
        <f>+$G$3</f>
        <v>1.0269999999999999</v>
      </c>
      <c r="H144" s="119"/>
      <c r="I144" s="234"/>
      <c r="J144" s="234"/>
      <c r="K144" s="234"/>
      <c r="L144" s="234"/>
      <c r="M144" s="234">
        <f>+$M$3</f>
        <v>1.0029999999999999</v>
      </c>
      <c r="N144" s="252"/>
      <c r="O144" s="80"/>
      <c r="P144" s="119"/>
      <c r="Q144" s="252">
        <f>+$Q$3</f>
        <v>1.0349999999999999</v>
      </c>
      <c r="R144" s="81">
        <f t="shared" si="31"/>
        <v>1.1690733213045894</v>
      </c>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row>
    <row r="145" spans="1:247" x14ac:dyDescent="0.35">
      <c r="A145" s="244">
        <v>7232</v>
      </c>
      <c r="B145" s="233" t="s">
        <v>2131</v>
      </c>
      <c r="C145" s="186" t="s">
        <v>108</v>
      </c>
      <c r="D145" s="245" t="s">
        <v>2001</v>
      </c>
      <c r="E145" s="119"/>
      <c r="F145" s="75">
        <f t="shared" si="30"/>
        <v>1.0209999999999999</v>
      </c>
      <c r="G145" s="252"/>
      <c r="H145" s="119">
        <f>+$H$3</f>
        <v>1.0029999999999999</v>
      </c>
      <c r="I145" s="234"/>
      <c r="J145" s="234"/>
      <c r="K145" s="234"/>
      <c r="L145" s="234"/>
      <c r="M145" s="234"/>
      <c r="N145" s="252"/>
      <c r="O145" s="80"/>
      <c r="P145" s="119">
        <f>+$P$3</f>
        <v>1.032</v>
      </c>
      <c r="Q145" s="252">
        <f>+$Q$3</f>
        <v>1.0349999999999999</v>
      </c>
      <c r="R145" s="81">
        <f t="shared" si="31"/>
        <v>1.0938221715599996</v>
      </c>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row>
    <row r="146" spans="1:247" x14ac:dyDescent="0.35">
      <c r="A146" s="244">
        <v>7233</v>
      </c>
      <c r="B146" s="233" t="s">
        <v>2132</v>
      </c>
      <c r="C146" s="186" t="s">
        <v>108</v>
      </c>
      <c r="D146" s="245" t="s">
        <v>2001</v>
      </c>
      <c r="E146" s="119"/>
      <c r="F146" s="75">
        <f t="shared" si="30"/>
        <v>1.0209999999999999</v>
      </c>
      <c r="G146" s="252">
        <f>+$G$3</f>
        <v>1.0269999999999999</v>
      </c>
      <c r="H146" s="119">
        <f>+$H$3</f>
        <v>1.0029999999999999</v>
      </c>
      <c r="I146" s="234"/>
      <c r="J146" s="234">
        <f>+$J$3</f>
        <v>1.0049999999999999</v>
      </c>
      <c r="K146" s="234"/>
      <c r="L146" s="234"/>
      <c r="M146" s="234"/>
      <c r="N146" s="252"/>
      <c r="O146" s="80"/>
      <c r="P146" s="119"/>
      <c r="Q146" s="252"/>
      <c r="R146" s="81">
        <f t="shared" si="31"/>
        <v>1.0569712645049996</v>
      </c>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row>
    <row r="147" spans="1:247" x14ac:dyDescent="0.35">
      <c r="A147" s="244">
        <v>7234</v>
      </c>
      <c r="B147" s="233" t="s">
        <v>2133</v>
      </c>
      <c r="C147" s="186" t="s">
        <v>108</v>
      </c>
      <c r="D147" s="245" t="s">
        <v>2001</v>
      </c>
      <c r="E147" s="119"/>
      <c r="F147" s="75">
        <f t="shared" si="30"/>
        <v>1.0209999999999999</v>
      </c>
      <c r="G147" s="252">
        <f>+$G$3</f>
        <v>1.0269999999999999</v>
      </c>
      <c r="H147" s="119"/>
      <c r="I147" s="234"/>
      <c r="J147" s="234"/>
      <c r="K147" s="234">
        <f>+$K$3</f>
        <v>1.026</v>
      </c>
      <c r="L147" s="234">
        <f>+$L$3</f>
        <v>1.0129999999999999</v>
      </c>
      <c r="M147" s="234"/>
      <c r="N147" s="252">
        <f>+$N$3</f>
        <v>1.0029999999999999</v>
      </c>
      <c r="O147" s="80"/>
      <c r="P147" s="119">
        <f>+$P$3</f>
        <v>1.032</v>
      </c>
      <c r="Q147" s="252">
        <f>+$Q$3</f>
        <v>1.0349999999999999</v>
      </c>
      <c r="R147" s="81">
        <f t="shared" si="31"/>
        <v>1.1675459237447372</v>
      </c>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row>
    <row r="148" spans="1:247" x14ac:dyDescent="0.35">
      <c r="A148" s="244">
        <v>7235</v>
      </c>
      <c r="B148" s="233" t="s">
        <v>2134</v>
      </c>
      <c r="C148" s="186" t="s">
        <v>40</v>
      </c>
      <c r="D148" s="245" t="s">
        <v>1993</v>
      </c>
      <c r="E148" s="119"/>
      <c r="F148" s="75">
        <f t="shared" si="30"/>
        <v>1.0209999999999999</v>
      </c>
      <c r="G148" s="252"/>
      <c r="H148" s="119"/>
      <c r="I148" s="234"/>
      <c r="J148" s="234"/>
      <c r="K148" s="234"/>
      <c r="L148" s="234"/>
      <c r="M148" s="234"/>
      <c r="N148" s="252"/>
      <c r="O148" s="80"/>
      <c r="P148" s="119"/>
      <c r="Q148" s="252"/>
      <c r="R148" s="81">
        <f t="shared" si="31"/>
        <v>1.0209999999999999</v>
      </c>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row>
    <row r="149" spans="1:247" x14ac:dyDescent="0.35">
      <c r="A149" s="244">
        <v>7236</v>
      </c>
      <c r="B149" s="233" t="s">
        <v>2135</v>
      </c>
      <c r="C149" s="186" t="s">
        <v>108</v>
      </c>
      <c r="D149" s="245" t="s">
        <v>1993</v>
      </c>
      <c r="E149" s="119"/>
      <c r="F149" s="75">
        <f t="shared" si="30"/>
        <v>1.0209999999999999</v>
      </c>
      <c r="G149" s="252"/>
      <c r="H149" s="119"/>
      <c r="I149" s="234"/>
      <c r="J149" s="234"/>
      <c r="K149" s="234"/>
      <c r="L149" s="234"/>
      <c r="M149" s="234"/>
      <c r="N149" s="252"/>
      <c r="O149" s="80"/>
      <c r="P149" s="119">
        <f>+$P$3</f>
        <v>1.032</v>
      </c>
      <c r="Q149" s="252">
        <f>+$Q$3</f>
        <v>1.0349999999999999</v>
      </c>
      <c r="R149" s="81">
        <f>PRODUCT(E149:Q149)</f>
        <v>1.0905505199999999</v>
      </c>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row>
    <row r="150" spans="1:247" x14ac:dyDescent="0.35">
      <c r="A150" s="244">
        <v>7241</v>
      </c>
      <c r="B150" s="233" t="s">
        <v>2136</v>
      </c>
      <c r="C150" s="186" t="s">
        <v>108</v>
      </c>
      <c r="D150" s="245" t="s">
        <v>2001</v>
      </c>
      <c r="E150" s="119">
        <f t="shared" ref="E150:E155" si="32">+$E$3</f>
        <v>1.0740000000000001</v>
      </c>
      <c r="F150" s="75">
        <f t="shared" si="30"/>
        <v>1.0209999999999999</v>
      </c>
      <c r="G150" s="252">
        <f t="shared" ref="G150:G157" si="33">+$G$3</f>
        <v>1.0269999999999999</v>
      </c>
      <c r="H150" s="119">
        <f t="shared" ref="H150:H157" si="34">+$H$3</f>
        <v>1.0029999999999999</v>
      </c>
      <c r="I150" s="234">
        <f t="shared" ref="I150:I157" si="35">+$I$3</f>
        <v>1.0289999999999999</v>
      </c>
      <c r="J150" s="234">
        <f t="shared" ref="J150:J157" si="36">+$J$3</f>
        <v>1.0049999999999999</v>
      </c>
      <c r="K150" s="234">
        <f t="shared" ref="K150:K155" si="37">+$K$3</f>
        <v>1.026</v>
      </c>
      <c r="L150" s="234">
        <f t="shared" ref="L150:L157" si="38">+$L$3</f>
        <v>1.0129999999999999</v>
      </c>
      <c r="M150" s="234">
        <f t="shared" ref="M150:M157" si="39">+$M$3</f>
        <v>1.0029999999999999</v>
      </c>
      <c r="N150" s="252">
        <f t="shared" ref="N150:N157" si="40">+$N$3</f>
        <v>1.0029999999999999</v>
      </c>
      <c r="O150" s="80">
        <f t="shared" ref="O150:O155" si="41">+$O$3</f>
        <v>1.0209999999999999</v>
      </c>
      <c r="P150" s="119">
        <f t="shared" ref="P150:P157" si="42">+$P$3</f>
        <v>1.032</v>
      </c>
      <c r="Q150" s="252">
        <f t="shared" ref="Q150:Q157" si="43">+$Q$3</f>
        <v>1.0349999999999999</v>
      </c>
      <c r="R150" s="81">
        <f t="shared" si="31"/>
        <v>1.3319480854780448</v>
      </c>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row>
    <row r="151" spans="1:247" x14ac:dyDescent="0.35">
      <c r="A151" s="244">
        <v>7242</v>
      </c>
      <c r="B151" s="233" t="s">
        <v>2137</v>
      </c>
      <c r="C151" s="186" t="s">
        <v>108</v>
      </c>
      <c r="D151" s="245" t="s">
        <v>2001</v>
      </c>
      <c r="E151" s="119">
        <f t="shared" si="32"/>
        <v>1.0740000000000001</v>
      </c>
      <c r="F151" s="75">
        <f t="shared" si="30"/>
        <v>1.0209999999999999</v>
      </c>
      <c r="G151" s="252">
        <f t="shared" si="33"/>
        <v>1.0269999999999999</v>
      </c>
      <c r="H151" s="119">
        <f t="shared" si="34"/>
        <v>1.0029999999999999</v>
      </c>
      <c r="I151" s="234">
        <f t="shared" si="35"/>
        <v>1.0289999999999999</v>
      </c>
      <c r="J151" s="234">
        <f t="shared" si="36"/>
        <v>1.0049999999999999</v>
      </c>
      <c r="K151" s="234">
        <f t="shared" si="37"/>
        <v>1.026</v>
      </c>
      <c r="L151" s="234">
        <f t="shared" si="38"/>
        <v>1.0129999999999999</v>
      </c>
      <c r="M151" s="234">
        <f t="shared" si="39"/>
        <v>1.0029999999999999</v>
      </c>
      <c r="N151" s="252">
        <f t="shared" si="40"/>
        <v>1.0029999999999999</v>
      </c>
      <c r="O151" s="80">
        <f t="shared" si="41"/>
        <v>1.0209999999999999</v>
      </c>
      <c r="P151" s="119">
        <f t="shared" si="42"/>
        <v>1.032</v>
      </c>
      <c r="Q151" s="252">
        <f t="shared" si="43"/>
        <v>1.0349999999999999</v>
      </c>
      <c r="R151" s="81">
        <f t="shared" si="31"/>
        <v>1.3319480854780448</v>
      </c>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row>
    <row r="152" spans="1:247" x14ac:dyDescent="0.35">
      <c r="A152" s="244">
        <v>7250</v>
      </c>
      <c r="B152" s="233" t="s">
        <v>2138</v>
      </c>
      <c r="C152" s="186" t="s">
        <v>108</v>
      </c>
      <c r="D152" s="245" t="s">
        <v>2001</v>
      </c>
      <c r="E152" s="119">
        <f t="shared" si="32"/>
        <v>1.0740000000000001</v>
      </c>
      <c r="F152" s="75">
        <f t="shared" si="30"/>
        <v>1.0209999999999999</v>
      </c>
      <c r="G152" s="252">
        <f t="shared" si="33"/>
        <v>1.0269999999999999</v>
      </c>
      <c r="H152" s="119">
        <f t="shared" si="34"/>
        <v>1.0029999999999999</v>
      </c>
      <c r="I152" s="234">
        <f t="shared" si="35"/>
        <v>1.0289999999999999</v>
      </c>
      <c r="J152" s="234">
        <f t="shared" si="36"/>
        <v>1.0049999999999999</v>
      </c>
      <c r="K152" s="234">
        <f t="shared" si="37"/>
        <v>1.026</v>
      </c>
      <c r="L152" s="234">
        <f t="shared" si="38"/>
        <v>1.0129999999999999</v>
      </c>
      <c r="M152" s="234">
        <f t="shared" si="39"/>
        <v>1.0029999999999999</v>
      </c>
      <c r="N152" s="252">
        <f t="shared" si="40"/>
        <v>1.0029999999999999</v>
      </c>
      <c r="O152" s="80">
        <f t="shared" si="41"/>
        <v>1.0209999999999999</v>
      </c>
      <c r="P152" s="119">
        <f t="shared" si="42"/>
        <v>1.032</v>
      </c>
      <c r="Q152" s="252">
        <f t="shared" si="43"/>
        <v>1.0349999999999999</v>
      </c>
      <c r="R152" s="81">
        <f t="shared" si="31"/>
        <v>1.3319480854780448</v>
      </c>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row>
    <row r="153" spans="1:247" x14ac:dyDescent="0.35">
      <c r="A153" s="244">
        <v>7312</v>
      </c>
      <c r="B153" s="233" t="s">
        <v>2139</v>
      </c>
      <c r="C153" s="186" t="s">
        <v>108</v>
      </c>
      <c r="D153" s="245" t="s">
        <v>2001</v>
      </c>
      <c r="E153" s="119">
        <f t="shared" si="32"/>
        <v>1.0740000000000001</v>
      </c>
      <c r="F153" s="75">
        <f t="shared" si="30"/>
        <v>1.0209999999999999</v>
      </c>
      <c r="G153" s="252">
        <f t="shared" si="33"/>
        <v>1.0269999999999999</v>
      </c>
      <c r="H153" s="119">
        <f t="shared" si="34"/>
        <v>1.0029999999999999</v>
      </c>
      <c r="I153" s="234">
        <f t="shared" si="35"/>
        <v>1.0289999999999999</v>
      </c>
      <c r="J153" s="234">
        <f t="shared" si="36"/>
        <v>1.0049999999999999</v>
      </c>
      <c r="K153" s="234">
        <f t="shared" si="37"/>
        <v>1.026</v>
      </c>
      <c r="L153" s="234">
        <f t="shared" si="38"/>
        <v>1.0129999999999999</v>
      </c>
      <c r="M153" s="234">
        <f t="shared" si="39"/>
        <v>1.0029999999999999</v>
      </c>
      <c r="N153" s="252">
        <f t="shared" si="40"/>
        <v>1.0029999999999999</v>
      </c>
      <c r="O153" s="80">
        <f t="shared" si="41"/>
        <v>1.0209999999999999</v>
      </c>
      <c r="P153" s="119">
        <f t="shared" si="42"/>
        <v>1.032</v>
      </c>
      <c r="Q153" s="252">
        <f t="shared" si="43"/>
        <v>1.0349999999999999</v>
      </c>
      <c r="R153" s="81">
        <f t="shared" si="31"/>
        <v>1.3319480854780448</v>
      </c>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c r="HI153" s="68"/>
      <c r="HJ153" s="68"/>
      <c r="HK153" s="68"/>
      <c r="HL153" s="68"/>
      <c r="HM153" s="68"/>
      <c r="HN153" s="68"/>
      <c r="HO153" s="68"/>
      <c r="HP153" s="68"/>
      <c r="HQ153" s="68"/>
      <c r="HR153" s="68"/>
      <c r="HS153" s="68"/>
      <c r="HT153" s="68"/>
      <c r="HU153" s="68"/>
      <c r="HV153" s="68"/>
      <c r="HW153" s="68"/>
      <c r="HX153" s="68"/>
      <c r="HY153" s="68"/>
      <c r="HZ153" s="68"/>
      <c r="IA153" s="68"/>
      <c r="IB153" s="68"/>
      <c r="IC153" s="68"/>
      <c r="ID153" s="68"/>
      <c r="IE153" s="68"/>
      <c r="IF153" s="68"/>
      <c r="IG153" s="68"/>
      <c r="IH153" s="68"/>
      <c r="II153" s="68"/>
      <c r="IJ153" s="68"/>
      <c r="IK153" s="68"/>
      <c r="IL153" s="68"/>
      <c r="IM153" s="68"/>
    </row>
    <row r="154" spans="1:247" x14ac:dyDescent="0.35">
      <c r="A154" s="244">
        <v>7313</v>
      </c>
      <c r="B154" s="233" t="s">
        <v>2140</v>
      </c>
      <c r="C154" s="186" t="s">
        <v>108</v>
      </c>
      <c r="D154" s="245" t="s">
        <v>2001</v>
      </c>
      <c r="E154" s="119">
        <f t="shared" si="32"/>
        <v>1.0740000000000001</v>
      </c>
      <c r="F154" s="75">
        <f t="shared" si="30"/>
        <v>1.0209999999999999</v>
      </c>
      <c r="G154" s="252">
        <f t="shared" si="33"/>
        <v>1.0269999999999999</v>
      </c>
      <c r="H154" s="119">
        <f t="shared" si="34"/>
        <v>1.0029999999999999</v>
      </c>
      <c r="I154" s="234">
        <f t="shared" si="35"/>
        <v>1.0289999999999999</v>
      </c>
      <c r="J154" s="234">
        <f t="shared" si="36"/>
        <v>1.0049999999999999</v>
      </c>
      <c r="K154" s="234">
        <f t="shared" si="37"/>
        <v>1.026</v>
      </c>
      <c r="L154" s="234">
        <f t="shared" si="38"/>
        <v>1.0129999999999999</v>
      </c>
      <c r="M154" s="234">
        <f t="shared" si="39"/>
        <v>1.0029999999999999</v>
      </c>
      <c r="N154" s="252">
        <f t="shared" si="40"/>
        <v>1.0029999999999999</v>
      </c>
      <c r="O154" s="80">
        <f t="shared" si="41"/>
        <v>1.0209999999999999</v>
      </c>
      <c r="P154" s="119">
        <f t="shared" si="42"/>
        <v>1.032</v>
      </c>
      <c r="Q154" s="252">
        <f t="shared" si="43"/>
        <v>1.0349999999999999</v>
      </c>
      <c r="R154" s="81">
        <f t="shared" si="31"/>
        <v>1.3319480854780448</v>
      </c>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row>
    <row r="155" spans="1:247" x14ac:dyDescent="0.35">
      <c r="A155" s="244">
        <v>7314</v>
      </c>
      <c r="B155" s="233" t="s">
        <v>2141</v>
      </c>
      <c r="C155" s="186" t="s">
        <v>108</v>
      </c>
      <c r="D155" s="245" t="s">
        <v>2001</v>
      </c>
      <c r="E155" s="119">
        <f t="shared" si="32"/>
        <v>1.0740000000000001</v>
      </c>
      <c r="F155" s="75">
        <f t="shared" si="30"/>
        <v>1.0209999999999999</v>
      </c>
      <c r="G155" s="252">
        <f t="shared" si="33"/>
        <v>1.0269999999999999</v>
      </c>
      <c r="H155" s="119">
        <f t="shared" si="34"/>
        <v>1.0029999999999999</v>
      </c>
      <c r="I155" s="234">
        <f t="shared" si="35"/>
        <v>1.0289999999999999</v>
      </c>
      <c r="J155" s="234">
        <f t="shared" si="36"/>
        <v>1.0049999999999999</v>
      </c>
      <c r="K155" s="234">
        <f t="shared" si="37"/>
        <v>1.026</v>
      </c>
      <c r="L155" s="234">
        <f t="shared" si="38"/>
        <v>1.0129999999999999</v>
      </c>
      <c r="M155" s="234">
        <f t="shared" si="39"/>
        <v>1.0029999999999999</v>
      </c>
      <c r="N155" s="252">
        <f t="shared" si="40"/>
        <v>1.0029999999999999</v>
      </c>
      <c r="O155" s="80">
        <f t="shared" si="41"/>
        <v>1.0209999999999999</v>
      </c>
      <c r="P155" s="119">
        <f t="shared" si="42"/>
        <v>1.032</v>
      </c>
      <c r="Q155" s="252">
        <f t="shared" si="43"/>
        <v>1.0349999999999999</v>
      </c>
      <c r="R155" s="81">
        <f t="shared" si="31"/>
        <v>1.3319480854780448</v>
      </c>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68"/>
      <c r="HX155" s="68"/>
      <c r="HY155" s="68"/>
      <c r="HZ155" s="68"/>
      <c r="IA155" s="68"/>
      <c r="IB155" s="68"/>
      <c r="IC155" s="68"/>
      <c r="ID155" s="68"/>
      <c r="IE155" s="68"/>
      <c r="IF155" s="68"/>
      <c r="IG155" s="68"/>
      <c r="IH155" s="68"/>
      <c r="II155" s="68"/>
      <c r="IJ155" s="68"/>
      <c r="IK155" s="68"/>
      <c r="IL155" s="68"/>
      <c r="IM155" s="68"/>
    </row>
    <row r="156" spans="1:247" x14ac:dyDescent="0.35">
      <c r="A156" s="244">
        <v>7321</v>
      </c>
      <c r="B156" s="233" t="s">
        <v>2142</v>
      </c>
      <c r="C156" s="186" t="s">
        <v>108</v>
      </c>
      <c r="D156" s="245" t="s">
        <v>2001</v>
      </c>
      <c r="E156" s="119"/>
      <c r="F156" s="75">
        <f t="shared" si="30"/>
        <v>1.0209999999999999</v>
      </c>
      <c r="G156" s="252">
        <f t="shared" si="33"/>
        <v>1.0269999999999999</v>
      </c>
      <c r="H156" s="119">
        <f t="shared" si="34"/>
        <v>1.0029999999999999</v>
      </c>
      <c r="I156" s="234">
        <f t="shared" si="35"/>
        <v>1.0289999999999999</v>
      </c>
      <c r="J156" s="234">
        <f t="shared" si="36"/>
        <v>1.0049999999999999</v>
      </c>
      <c r="K156" s="234"/>
      <c r="L156" s="234">
        <f t="shared" si="38"/>
        <v>1.0129999999999999</v>
      </c>
      <c r="M156" s="234">
        <f t="shared" si="39"/>
        <v>1.0029999999999999</v>
      </c>
      <c r="N156" s="252">
        <f t="shared" si="40"/>
        <v>1.0029999999999999</v>
      </c>
      <c r="O156" s="80"/>
      <c r="P156" s="119">
        <f t="shared" si="42"/>
        <v>1.032</v>
      </c>
      <c r="Q156" s="252">
        <f t="shared" si="43"/>
        <v>1.0349999999999999</v>
      </c>
      <c r="R156" s="81">
        <f t="shared" si="31"/>
        <v>1.1838860786480316</v>
      </c>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c r="HI156" s="68"/>
      <c r="HJ156" s="68"/>
      <c r="HK156" s="68"/>
      <c r="HL156" s="68"/>
      <c r="HM156" s="68"/>
      <c r="HN156" s="68"/>
      <c r="HO156" s="68"/>
      <c r="HP156" s="68"/>
      <c r="HQ156" s="68"/>
      <c r="HR156" s="68"/>
      <c r="HS156" s="68"/>
      <c r="HT156" s="68"/>
      <c r="HU156" s="68"/>
      <c r="HV156" s="68"/>
      <c r="HW156" s="68"/>
      <c r="HX156" s="68"/>
      <c r="HY156" s="68"/>
      <c r="HZ156" s="68"/>
      <c r="IA156" s="68"/>
      <c r="IB156" s="68"/>
      <c r="IC156" s="68"/>
      <c r="ID156" s="68"/>
      <c r="IE156" s="68"/>
      <c r="IF156" s="68"/>
      <c r="IG156" s="68"/>
      <c r="IH156" s="68"/>
      <c r="II156" s="68"/>
      <c r="IJ156" s="68"/>
      <c r="IK156" s="68"/>
      <c r="IL156" s="68"/>
      <c r="IM156" s="68"/>
    </row>
    <row r="157" spans="1:247" x14ac:dyDescent="0.35">
      <c r="A157" s="244">
        <v>7322</v>
      </c>
      <c r="B157" s="233" t="s">
        <v>2143</v>
      </c>
      <c r="C157" s="186" t="s">
        <v>108</v>
      </c>
      <c r="D157" s="245" t="s">
        <v>2001</v>
      </c>
      <c r="E157" s="119"/>
      <c r="F157" s="75">
        <f t="shared" si="30"/>
        <v>1.0209999999999999</v>
      </c>
      <c r="G157" s="252">
        <f t="shared" si="33"/>
        <v>1.0269999999999999</v>
      </c>
      <c r="H157" s="119">
        <f t="shared" si="34"/>
        <v>1.0029999999999999</v>
      </c>
      <c r="I157" s="234">
        <f t="shared" si="35"/>
        <v>1.0289999999999999</v>
      </c>
      <c r="J157" s="234">
        <f t="shared" si="36"/>
        <v>1.0049999999999999</v>
      </c>
      <c r="K157" s="234"/>
      <c r="L157" s="234">
        <f t="shared" si="38"/>
        <v>1.0129999999999999</v>
      </c>
      <c r="M157" s="234">
        <f t="shared" si="39"/>
        <v>1.0029999999999999</v>
      </c>
      <c r="N157" s="252">
        <f t="shared" si="40"/>
        <v>1.0029999999999999</v>
      </c>
      <c r="O157" s="80"/>
      <c r="P157" s="119">
        <f t="shared" si="42"/>
        <v>1.032</v>
      </c>
      <c r="Q157" s="252">
        <f t="shared" si="43"/>
        <v>1.0349999999999999</v>
      </c>
      <c r="R157" s="81">
        <f t="shared" si="31"/>
        <v>1.1838860786480316</v>
      </c>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row>
    <row r="158" spans="1:247" x14ac:dyDescent="0.35">
      <c r="A158" s="244">
        <v>7323</v>
      </c>
      <c r="B158" s="233" t="s">
        <v>2144</v>
      </c>
      <c r="C158" s="186" t="s">
        <v>108</v>
      </c>
      <c r="D158" s="245" t="s">
        <v>2001</v>
      </c>
      <c r="E158" s="119"/>
      <c r="F158" s="75">
        <f t="shared" si="30"/>
        <v>1.0209999999999999</v>
      </c>
      <c r="G158" s="252"/>
      <c r="H158" s="119"/>
      <c r="I158" s="234"/>
      <c r="J158" s="234"/>
      <c r="K158" s="234"/>
      <c r="L158" s="234"/>
      <c r="M158" s="234"/>
      <c r="N158" s="252"/>
      <c r="O158" s="80"/>
      <c r="P158" s="119"/>
      <c r="Q158" s="252"/>
      <c r="R158" s="81">
        <f t="shared" si="31"/>
        <v>1.0209999999999999</v>
      </c>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row>
    <row r="159" spans="1:247" x14ac:dyDescent="0.35">
      <c r="A159" s="244">
        <v>7331</v>
      </c>
      <c r="B159" s="233" t="s">
        <v>2145</v>
      </c>
      <c r="C159" s="186" t="s">
        <v>108</v>
      </c>
      <c r="D159" s="245" t="s">
        <v>2001</v>
      </c>
      <c r="E159" s="119">
        <f>+$E$3</f>
        <v>1.0740000000000001</v>
      </c>
      <c r="F159" s="75">
        <f t="shared" si="30"/>
        <v>1.0209999999999999</v>
      </c>
      <c r="G159" s="252">
        <f>+$G$3</f>
        <v>1.0269999999999999</v>
      </c>
      <c r="H159" s="119"/>
      <c r="I159" s="234"/>
      <c r="J159" s="234">
        <f>+$J$3</f>
        <v>1.0049999999999999</v>
      </c>
      <c r="K159" s="234">
        <f>+$K$3</f>
        <v>1.026</v>
      </c>
      <c r="L159" s="234">
        <f>+$L$3</f>
        <v>1.0129999999999999</v>
      </c>
      <c r="M159" s="234">
        <f>+$M$3</f>
        <v>1.0029999999999999</v>
      </c>
      <c r="N159" s="252">
        <f t="shared" ref="N159:N172" si="44">+$N$3</f>
        <v>1.0029999999999999</v>
      </c>
      <c r="O159" s="80">
        <f>+$O$3</f>
        <v>1.0209999999999999</v>
      </c>
      <c r="P159" s="119">
        <f>+$P$3</f>
        <v>1.032</v>
      </c>
      <c r="Q159" s="252">
        <f>+$Q$3</f>
        <v>1.0349999999999999</v>
      </c>
      <c r="R159" s="81">
        <f t="shared" si="31"/>
        <v>1.290538574246207</v>
      </c>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row>
    <row r="160" spans="1:247" x14ac:dyDescent="0.35">
      <c r="A160" s="244">
        <v>7333</v>
      </c>
      <c r="B160" s="233" t="s">
        <v>2146</v>
      </c>
      <c r="C160" s="186" t="s">
        <v>108</v>
      </c>
      <c r="D160" s="245" t="s">
        <v>2001</v>
      </c>
      <c r="E160" s="119">
        <f>+$E$3</f>
        <v>1.0740000000000001</v>
      </c>
      <c r="F160" s="75">
        <f t="shared" si="30"/>
        <v>1.0209999999999999</v>
      </c>
      <c r="G160" s="252">
        <f>+$G$3</f>
        <v>1.0269999999999999</v>
      </c>
      <c r="H160" s="119">
        <f>+$H$3</f>
        <v>1.0029999999999999</v>
      </c>
      <c r="I160" s="234">
        <f>+$I$3</f>
        <v>1.0289999999999999</v>
      </c>
      <c r="J160" s="234">
        <f>+$J$3</f>
        <v>1.0049999999999999</v>
      </c>
      <c r="K160" s="234">
        <f>+$K$3</f>
        <v>1.026</v>
      </c>
      <c r="L160" s="234">
        <f>+$L$3</f>
        <v>1.0129999999999999</v>
      </c>
      <c r="M160" s="234">
        <f>+$M$3</f>
        <v>1.0029999999999999</v>
      </c>
      <c r="N160" s="252">
        <f t="shared" si="44"/>
        <v>1.0029999999999999</v>
      </c>
      <c r="O160" s="80">
        <f>+$O$3</f>
        <v>1.0209999999999999</v>
      </c>
      <c r="P160" s="119">
        <f>+$P$3</f>
        <v>1.032</v>
      </c>
      <c r="Q160" s="252">
        <f>+$Q$3</f>
        <v>1.0349999999999999</v>
      </c>
      <c r="R160" s="81">
        <f t="shared" si="31"/>
        <v>1.3319480854780448</v>
      </c>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row>
    <row r="161" spans="1:247" x14ac:dyDescent="0.35">
      <c r="A161" s="244">
        <v>7340</v>
      </c>
      <c r="B161" s="233" t="s">
        <v>2147</v>
      </c>
      <c r="C161" s="186" t="s">
        <v>108</v>
      </c>
      <c r="D161" s="245" t="s">
        <v>2001</v>
      </c>
      <c r="E161" s="119"/>
      <c r="F161" s="75">
        <f t="shared" si="30"/>
        <v>1.0209999999999999</v>
      </c>
      <c r="G161" s="252"/>
      <c r="H161" s="119"/>
      <c r="I161" s="234"/>
      <c r="J161" s="234">
        <f>+$J$3</f>
        <v>1.0049999999999999</v>
      </c>
      <c r="K161" s="234"/>
      <c r="L161" s="234"/>
      <c r="M161" s="234"/>
      <c r="N161" s="252">
        <f t="shared" si="44"/>
        <v>1.0029999999999999</v>
      </c>
      <c r="O161" s="80"/>
      <c r="P161" s="119"/>
      <c r="Q161" s="252"/>
      <c r="R161" s="81">
        <f t="shared" si="31"/>
        <v>1.0291833149999998</v>
      </c>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row>
    <row r="162" spans="1:247" x14ac:dyDescent="0.35">
      <c r="A162" s="244">
        <v>7341</v>
      </c>
      <c r="B162" s="233" t="s">
        <v>2148</v>
      </c>
      <c r="C162" s="186" t="s">
        <v>108</v>
      </c>
      <c r="D162" s="245" t="s">
        <v>2001</v>
      </c>
      <c r="E162" s="119"/>
      <c r="F162" s="75">
        <f t="shared" si="30"/>
        <v>1.0209999999999999</v>
      </c>
      <c r="G162" s="252"/>
      <c r="H162" s="119">
        <f>+$H$3</f>
        <v>1.0029999999999999</v>
      </c>
      <c r="I162" s="234">
        <f>+$I$3</f>
        <v>1.0289999999999999</v>
      </c>
      <c r="J162" s="234">
        <f>+$J$3</f>
        <v>1.0049999999999999</v>
      </c>
      <c r="K162" s="234"/>
      <c r="L162" s="234"/>
      <c r="M162" s="234"/>
      <c r="N162" s="252">
        <f t="shared" si="44"/>
        <v>1.0029999999999999</v>
      </c>
      <c r="O162" s="80"/>
      <c r="P162" s="119">
        <f t="shared" ref="P162:P172" si="45">+$P$3</f>
        <v>1.032</v>
      </c>
      <c r="Q162" s="252">
        <f t="shared" ref="Q162:Q172" si="46">+$Q$3</f>
        <v>1.0349999999999999</v>
      </c>
      <c r="R162" s="81">
        <f t="shared" si="31"/>
        <v>1.1345642417967394</v>
      </c>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row>
    <row r="163" spans="1:247" x14ac:dyDescent="0.35">
      <c r="A163" s="244">
        <v>7342</v>
      </c>
      <c r="B163" s="233" t="s">
        <v>2149</v>
      </c>
      <c r="C163" s="186" t="s">
        <v>108</v>
      </c>
      <c r="D163" s="245" t="s">
        <v>2001</v>
      </c>
      <c r="E163" s="119"/>
      <c r="F163" s="75">
        <f t="shared" si="30"/>
        <v>1.0209999999999999</v>
      </c>
      <c r="G163" s="252"/>
      <c r="H163" s="119"/>
      <c r="I163" s="234"/>
      <c r="J163" s="234"/>
      <c r="K163" s="234"/>
      <c r="L163" s="234">
        <f>+$L$3</f>
        <v>1.0129999999999999</v>
      </c>
      <c r="M163" s="234">
        <f>+$M$3</f>
        <v>1.0029999999999999</v>
      </c>
      <c r="N163" s="252">
        <f t="shared" si="44"/>
        <v>1.0029999999999999</v>
      </c>
      <c r="O163" s="80"/>
      <c r="P163" s="119">
        <f t="shared" si="45"/>
        <v>1.032</v>
      </c>
      <c r="Q163" s="252">
        <f t="shared" si="46"/>
        <v>1.0349999999999999</v>
      </c>
      <c r="R163" s="81">
        <f t="shared" si="31"/>
        <v>1.1113659853696505</v>
      </c>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row>
    <row r="164" spans="1:247" x14ac:dyDescent="0.35">
      <c r="A164" s="244">
        <v>7344</v>
      </c>
      <c r="B164" s="233" t="s">
        <v>2150</v>
      </c>
      <c r="C164" s="186" t="s">
        <v>108</v>
      </c>
      <c r="D164" s="245" t="s">
        <v>2001</v>
      </c>
      <c r="E164" s="119">
        <f>+$E$3</f>
        <v>1.0740000000000001</v>
      </c>
      <c r="F164" s="75">
        <f t="shared" si="30"/>
        <v>1.0209999999999999</v>
      </c>
      <c r="G164" s="252">
        <f>+$G$3</f>
        <v>1.0269999999999999</v>
      </c>
      <c r="H164" s="119">
        <f>+$H$3</f>
        <v>1.0029999999999999</v>
      </c>
      <c r="I164" s="234">
        <f>+$I$3</f>
        <v>1.0289999999999999</v>
      </c>
      <c r="J164" s="234">
        <f>+$J$3</f>
        <v>1.0049999999999999</v>
      </c>
      <c r="K164" s="234">
        <f>+$K$3</f>
        <v>1.026</v>
      </c>
      <c r="L164" s="234">
        <f>+$L$3</f>
        <v>1.0129999999999999</v>
      </c>
      <c r="M164" s="234">
        <f>+$M$3</f>
        <v>1.0029999999999999</v>
      </c>
      <c r="N164" s="252">
        <f t="shared" si="44"/>
        <v>1.0029999999999999</v>
      </c>
      <c r="O164" s="80">
        <f>+$O$3</f>
        <v>1.0209999999999999</v>
      </c>
      <c r="P164" s="119">
        <f t="shared" si="45"/>
        <v>1.032</v>
      </c>
      <c r="Q164" s="252">
        <f t="shared" si="46"/>
        <v>1.0349999999999999</v>
      </c>
      <c r="R164" s="81">
        <f t="shared" si="31"/>
        <v>1.3319480854780448</v>
      </c>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c r="IL164" s="68"/>
      <c r="IM164" s="68"/>
    </row>
    <row r="165" spans="1:247" x14ac:dyDescent="0.35">
      <c r="A165" s="244">
        <v>7345</v>
      </c>
      <c r="B165" s="233" t="s">
        <v>2151</v>
      </c>
      <c r="C165" s="186" t="s">
        <v>108</v>
      </c>
      <c r="D165" s="245" t="s">
        <v>2001</v>
      </c>
      <c r="E165" s="119"/>
      <c r="F165" s="75">
        <f t="shared" si="30"/>
        <v>1.0209999999999999</v>
      </c>
      <c r="G165" s="252">
        <f>+$G$3</f>
        <v>1.0269999999999999</v>
      </c>
      <c r="H165" s="119">
        <f>+$H$3</f>
        <v>1.0029999999999999</v>
      </c>
      <c r="I165" s="234">
        <f>+$I$3</f>
        <v>1.0289999999999999</v>
      </c>
      <c r="J165" s="234">
        <f>+$J$3</f>
        <v>1.0049999999999999</v>
      </c>
      <c r="K165" s="234"/>
      <c r="L165" s="234"/>
      <c r="M165" s="234"/>
      <c r="N165" s="252">
        <f t="shared" si="44"/>
        <v>1.0029999999999999</v>
      </c>
      <c r="O165" s="80"/>
      <c r="P165" s="119">
        <f t="shared" si="45"/>
        <v>1.032</v>
      </c>
      <c r="Q165" s="252">
        <f t="shared" si="46"/>
        <v>1.0349999999999999</v>
      </c>
      <c r="R165" s="81">
        <f t="shared" si="31"/>
        <v>1.1651974763252515</v>
      </c>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row>
    <row r="166" spans="1:247" x14ac:dyDescent="0.35">
      <c r="A166" s="244">
        <v>7346</v>
      </c>
      <c r="B166" s="233" t="s">
        <v>2152</v>
      </c>
      <c r="C166" s="186" t="s">
        <v>108</v>
      </c>
      <c r="D166" s="245" t="s">
        <v>2001</v>
      </c>
      <c r="E166" s="119"/>
      <c r="F166" s="75">
        <f t="shared" si="30"/>
        <v>1.0209999999999999</v>
      </c>
      <c r="G166" s="252">
        <f>+$G$3</f>
        <v>1.0269999999999999</v>
      </c>
      <c r="H166" s="119">
        <f>+$H$3</f>
        <v>1.0029999999999999</v>
      </c>
      <c r="I166" s="234">
        <f>+$I$3</f>
        <v>1.0289999999999999</v>
      </c>
      <c r="J166" s="234">
        <f>+$J$3</f>
        <v>1.0049999999999999</v>
      </c>
      <c r="K166" s="234">
        <f>+$K$3</f>
        <v>1.026</v>
      </c>
      <c r="L166" s="234">
        <f>+$L$3</f>
        <v>1.0129999999999999</v>
      </c>
      <c r="M166" s="234">
        <f>+$M$3</f>
        <v>1.0029999999999999</v>
      </c>
      <c r="N166" s="252">
        <f t="shared" si="44"/>
        <v>1.0029999999999999</v>
      </c>
      <c r="O166" s="80"/>
      <c r="P166" s="119">
        <f t="shared" si="45"/>
        <v>1.032</v>
      </c>
      <c r="Q166" s="252">
        <f t="shared" si="46"/>
        <v>1.0349999999999999</v>
      </c>
      <c r="R166" s="81">
        <f t="shared" si="31"/>
        <v>1.2146671166928804</v>
      </c>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row>
    <row r="167" spans="1:247" x14ac:dyDescent="0.35">
      <c r="A167" s="244">
        <v>7347</v>
      </c>
      <c r="B167" s="233" t="s">
        <v>2153</v>
      </c>
      <c r="C167" s="186" t="s">
        <v>108</v>
      </c>
      <c r="D167" s="245" t="s">
        <v>2001</v>
      </c>
      <c r="E167" s="119">
        <f>+$E$3</f>
        <v>1.0740000000000001</v>
      </c>
      <c r="F167" s="75">
        <f t="shared" si="30"/>
        <v>1.0209999999999999</v>
      </c>
      <c r="G167" s="252">
        <f>+$G$3</f>
        <v>1.0269999999999999</v>
      </c>
      <c r="H167" s="119">
        <f>+$H$3</f>
        <v>1.0029999999999999</v>
      </c>
      <c r="I167" s="234">
        <f>+$I$3</f>
        <v>1.0289999999999999</v>
      </c>
      <c r="J167" s="234">
        <f>+$J$3</f>
        <v>1.0049999999999999</v>
      </c>
      <c r="K167" s="234">
        <f>+$K$3</f>
        <v>1.026</v>
      </c>
      <c r="L167" s="234"/>
      <c r="M167" s="234">
        <f>+$M$3</f>
        <v>1.0029999999999999</v>
      </c>
      <c r="N167" s="252">
        <f t="shared" si="44"/>
        <v>1.0029999999999999</v>
      </c>
      <c r="O167" s="80">
        <f>+$O$3</f>
        <v>1.0209999999999999</v>
      </c>
      <c r="P167" s="119">
        <f t="shared" si="45"/>
        <v>1.032</v>
      </c>
      <c r="Q167" s="252">
        <f t="shared" si="46"/>
        <v>1.0349999999999999</v>
      </c>
      <c r="R167" s="81">
        <f t="shared" si="31"/>
        <v>1.3148549708569053</v>
      </c>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row>
    <row r="168" spans="1:247" x14ac:dyDescent="0.35">
      <c r="A168" s="244">
        <v>7348</v>
      </c>
      <c r="B168" s="233" t="s">
        <v>2154</v>
      </c>
      <c r="C168" s="186" t="s">
        <v>108</v>
      </c>
      <c r="D168" s="245" t="s">
        <v>2001</v>
      </c>
      <c r="E168" s="119"/>
      <c r="F168" s="75">
        <f t="shared" si="30"/>
        <v>1.0209999999999999</v>
      </c>
      <c r="G168" s="252"/>
      <c r="H168" s="119"/>
      <c r="I168" s="234"/>
      <c r="J168" s="234"/>
      <c r="K168" s="234"/>
      <c r="L168" s="234">
        <f>+$L$3</f>
        <v>1.0129999999999999</v>
      </c>
      <c r="M168" s="234"/>
      <c r="N168" s="252">
        <f t="shared" si="44"/>
        <v>1.0029999999999999</v>
      </c>
      <c r="O168" s="80"/>
      <c r="P168" s="119">
        <f t="shared" si="45"/>
        <v>1.032</v>
      </c>
      <c r="Q168" s="252">
        <f t="shared" si="46"/>
        <v>1.0349999999999999</v>
      </c>
      <c r="R168" s="81">
        <f t="shared" si="31"/>
        <v>1.1080418597902797</v>
      </c>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row>
    <row r="169" spans="1:247" x14ac:dyDescent="0.35">
      <c r="A169" s="244">
        <v>7349</v>
      </c>
      <c r="B169" s="233" t="s">
        <v>2155</v>
      </c>
      <c r="C169" s="186" t="s">
        <v>108</v>
      </c>
      <c r="D169" s="245" t="s">
        <v>2001</v>
      </c>
      <c r="E169" s="119">
        <f>+$E$3</f>
        <v>1.0740000000000001</v>
      </c>
      <c r="F169" s="75">
        <f t="shared" si="30"/>
        <v>1.0209999999999999</v>
      </c>
      <c r="G169" s="252">
        <f>+$G$3</f>
        <v>1.0269999999999999</v>
      </c>
      <c r="H169" s="119">
        <f>+$H$3</f>
        <v>1.0029999999999999</v>
      </c>
      <c r="I169" s="234">
        <f>+$I$3</f>
        <v>1.0289999999999999</v>
      </c>
      <c r="J169" s="234">
        <f>+$J$3</f>
        <v>1.0049999999999999</v>
      </c>
      <c r="K169" s="234"/>
      <c r="L169" s="234">
        <f>+$L$3</f>
        <v>1.0129999999999999</v>
      </c>
      <c r="M169" s="234">
        <f>+$M$3</f>
        <v>1.0029999999999999</v>
      </c>
      <c r="N169" s="252">
        <f t="shared" si="44"/>
        <v>1.0029999999999999</v>
      </c>
      <c r="O169" s="80">
        <f>+$O$3</f>
        <v>1.0209999999999999</v>
      </c>
      <c r="P169" s="119">
        <f t="shared" si="45"/>
        <v>1.032</v>
      </c>
      <c r="Q169" s="252">
        <f t="shared" si="46"/>
        <v>1.0349999999999999</v>
      </c>
      <c r="R169" s="81">
        <f t="shared" si="31"/>
        <v>1.2981950150858137</v>
      </c>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row>
    <row r="170" spans="1:247" x14ac:dyDescent="0.35">
      <c r="A170" s="244">
        <v>7350</v>
      </c>
      <c r="B170" s="233" t="s">
        <v>2156</v>
      </c>
      <c r="C170" s="186" t="s">
        <v>108</v>
      </c>
      <c r="D170" s="245" t="s">
        <v>1993</v>
      </c>
      <c r="E170" s="119"/>
      <c r="F170" s="75">
        <f t="shared" si="30"/>
        <v>1.0209999999999999</v>
      </c>
      <c r="G170" s="252"/>
      <c r="H170" s="119"/>
      <c r="I170" s="234"/>
      <c r="J170" s="234"/>
      <c r="K170" s="234"/>
      <c r="L170" s="234">
        <f>+$L$3</f>
        <v>1.0129999999999999</v>
      </c>
      <c r="M170" s="234"/>
      <c r="N170" s="252">
        <f t="shared" si="44"/>
        <v>1.0029999999999999</v>
      </c>
      <c r="O170" s="80"/>
      <c r="P170" s="119">
        <f t="shared" si="45"/>
        <v>1.032</v>
      </c>
      <c r="Q170" s="252">
        <f t="shared" si="46"/>
        <v>1.0349999999999999</v>
      </c>
      <c r="R170" s="81">
        <f>PRODUCT(E170:Q170)</f>
        <v>1.1080418597902797</v>
      </c>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row>
    <row r="171" spans="1:247" x14ac:dyDescent="0.35">
      <c r="A171" s="244">
        <v>7351</v>
      </c>
      <c r="B171" s="233" t="s">
        <v>2157</v>
      </c>
      <c r="C171" s="186" t="s">
        <v>108</v>
      </c>
      <c r="D171" s="245" t="s">
        <v>2001</v>
      </c>
      <c r="E171" s="119">
        <f>+$E$3</f>
        <v>1.0740000000000001</v>
      </c>
      <c r="F171" s="75">
        <f t="shared" si="30"/>
        <v>1.0209999999999999</v>
      </c>
      <c r="G171" s="252">
        <f>+$G$3</f>
        <v>1.0269999999999999</v>
      </c>
      <c r="H171" s="119">
        <f>+$H$3</f>
        <v>1.0029999999999999</v>
      </c>
      <c r="I171" s="234">
        <f>+$I$3</f>
        <v>1.0289999999999999</v>
      </c>
      <c r="J171" s="234">
        <f>+$J$3</f>
        <v>1.0049999999999999</v>
      </c>
      <c r="K171" s="234">
        <f>+$K$3</f>
        <v>1.026</v>
      </c>
      <c r="L171" s="234">
        <f>+$L$3</f>
        <v>1.0129999999999999</v>
      </c>
      <c r="M171" s="234">
        <f>+$M$3</f>
        <v>1.0029999999999999</v>
      </c>
      <c r="N171" s="252">
        <f t="shared" si="44"/>
        <v>1.0029999999999999</v>
      </c>
      <c r="O171" s="80">
        <f>+$O$3</f>
        <v>1.0209999999999999</v>
      </c>
      <c r="P171" s="119">
        <f t="shared" si="45"/>
        <v>1.032</v>
      </c>
      <c r="Q171" s="252">
        <f t="shared" si="46"/>
        <v>1.0349999999999999</v>
      </c>
      <c r="R171" s="81">
        <f t="shared" si="31"/>
        <v>1.3319480854780448</v>
      </c>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row>
    <row r="172" spans="1:247" x14ac:dyDescent="0.35">
      <c r="A172" s="244">
        <v>7353</v>
      </c>
      <c r="B172" s="284" t="s">
        <v>2429</v>
      </c>
      <c r="C172" s="271" t="s">
        <v>108</v>
      </c>
      <c r="D172" s="245" t="s">
        <v>2001</v>
      </c>
      <c r="E172" s="119">
        <f>+$E$3</f>
        <v>1.0740000000000001</v>
      </c>
      <c r="F172" s="75">
        <f t="shared" si="30"/>
        <v>1.0209999999999999</v>
      </c>
      <c r="G172" s="252">
        <f>+$G$3</f>
        <v>1.0269999999999999</v>
      </c>
      <c r="H172" s="119"/>
      <c r="I172" s="234"/>
      <c r="J172" s="234"/>
      <c r="K172" s="234">
        <f>+$K$3</f>
        <v>1.026</v>
      </c>
      <c r="L172" s="234">
        <f>+$L$3</f>
        <v>1.0129999999999999</v>
      </c>
      <c r="M172" s="234">
        <f>+$M$3</f>
        <v>1.0029999999999999</v>
      </c>
      <c r="N172" s="252">
        <f t="shared" si="44"/>
        <v>1.0029999999999999</v>
      </c>
      <c r="O172" s="80">
        <f>+$O$3</f>
        <v>1.0209999999999999</v>
      </c>
      <c r="P172" s="119">
        <f t="shared" si="45"/>
        <v>1.032</v>
      </c>
      <c r="Q172" s="252">
        <f t="shared" si="46"/>
        <v>1.0349999999999999</v>
      </c>
      <c r="R172" s="81">
        <f>PRODUCT(E172:Q172)</f>
        <v>1.2841179843245845</v>
      </c>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row>
    <row r="173" spans="1:247" x14ac:dyDescent="0.35">
      <c r="A173" s="244">
        <v>7354</v>
      </c>
      <c r="B173" s="233" t="s">
        <v>2158</v>
      </c>
      <c r="C173" s="186" t="s">
        <v>40</v>
      </c>
      <c r="D173" s="245" t="s">
        <v>1993</v>
      </c>
      <c r="E173" s="119"/>
      <c r="F173" s="75">
        <f t="shared" si="30"/>
        <v>1.0209999999999999</v>
      </c>
      <c r="G173" s="252"/>
      <c r="H173" s="119"/>
      <c r="I173" s="234"/>
      <c r="J173" s="234"/>
      <c r="K173" s="234"/>
      <c r="L173" s="234"/>
      <c r="M173" s="234"/>
      <c r="N173" s="252"/>
      <c r="O173" s="80"/>
      <c r="P173" s="119"/>
      <c r="Q173" s="252"/>
      <c r="R173" s="81">
        <f t="shared" si="31"/>
        <v>1.0209999999999999</v>
      </c>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c r="HI173" s="68"/>
      <c r="HJ173" s="68"/>
      <c r="HK173" s="68"/>
      <c r="HL173" s="68"/>
      <c r="HM173" s="68"/>
      <c r="HN173" s="68"/>
      <c r="HO173" s="68"/>
      <c r="HP173" s="68"/>
      <c r="HQ173" s="68"/>
      <c r="HR173" s="68"/>
      <c r="HS173" s="68"/>
      <c r="HT173" s="68"/>
      <c r="HU173" s="68"/>
      <c r="HV173" s="68"/>
      <c r="HW173" s="68"/>
      <c r="HX173" s="68"/>
      <c r="HY173" s="68"/>
      <c r="HZ173" s="68"/>
      <c r="IA173" s="68"/>
      <c r="IB173" s="68"/>
      <c r="IC173" s="68"/>
      <c r="ID173" s="68"/>
      <c r="IE173" s="68"/>
      <c r="IF173" s="68"/>
      <c r="IG173" s="68"/>
      <c r="IH173" s="68"/>
      <c r="II173" s="68"/>
      <c r="IJ173" s="68"/>
      <c r="IK173" s="68"/>
      <c r="IL173" s="68"/>
      <c r="IM173" s="68"/>
    </row>
    <row r="174" spans="1:247" x14ac:dyDescent="0.35">
      <c r="A174" s="244">
        <v>7362</v>
      </c>
      <c r="B174" s="233" t="s">
        <v>2159</v>
      </c>
      <c r="C174" s="186" t="s">
        <v>108</v>
      </c>
      <c r="D174" s="245" t="s">
        <v>2001</v>
      </c>
      <c r="E174" s="119">
        <f>+$E$3</f>
        <v>1.0740000000000001</v>
      </c>
      <c r="F174" s="75">
        <f t="shared" si="30"/>
        <v>1.0209999999999999</v>
      </c>
      <c r="G174" s="252">
        <f>+$G$3</f>
        <v>1.0269999999999999</v>
      </c>
      <c r="H174" s="119">
        <f>+$H$3</f>
        <v>1.0029999999999999</v>
      </c>
      <c r="I174" s="234">
        <f>+$I$3</f>
        <v>1.0289999999999999</v>
      </c>
      <c r="J174" s="234">
        <f>+$J$3</f>
        <v>1.0049999999999999</v>
      </c>
      <c r="K174" s="234">
        <f>+$K$3</f>
        <v>1.026</v>
      </c>
      <c r="L174" s="234">
        <f>+$L$3</f>
        <v>1.0129999999999999</v>
      </c>
      <c r="M174" s="234">
        <f>+$M$3</f>
        <v>1.0029999999999999</v>
      </c>
      <c r="N174" s="252">
        <f>+$N$3</f>
        <v>1.0029999999999999</v>
      </c>
      <c r="O174" s="80"/>
      <c r="P174" s="119">
        <f>+$P$3</f>
        <v>1.032</v>
      </c>
      <c r="Q174" s="252">
        <f>+$Q$3</f>
        <v>1.0349999999999999</v>
      </c>
      <c r="R174" s="81">
        <f t="shared" si="31"/>
        <v>1.3045524833281539</v>
      </c>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c r="GE174" s="68"/>
      <c r="GF174" s="68"/>
      <c r="GG174" s="68"/>
      <c r="GH174" s="68"/>
      <c r="GI174" s="68"/>
      <c r="GJ174" s="68"/>
      <c r="GK174" s="68"/>
      <c r="GL174" s="68"/>
      <c r="GM174" s="68"/>
      <c r="GN174" s="68"/>
      <c r="GO174" s="68"/>
      <c r="GP174" s="68"/>
      <c r="GQ174" s="68"/>
      <c r="GR174" s="68"/>
      <c r="GS174" s="68"/>
      <c r="GT174" s="68"/>
      <c r="GU174" s="68"/>
      <c r="GV174" s="68"/>
      <c r="GW174" s="68"/>
      <c r="GX174" s="68"/>
      <c r="GY174" s="68"/>
      <c r="GZ174" s="68"/>
      <c r="HA174" s="68"/>
      <c r="HB174" s="68"/>
      <c r="HC174" s="68"/>
      <c r="HD174" s="68"/>
      <c r="HE174" s="68"/>
      <c r="HF174" s="68"/>
      <c r="HG174" s="68"/>
      <c r="HH174" s="68"/>
      <c r="HI174" s="68"/>
      <c r="HJ174" s="68"/>
      <c r="HK174" s="68"/>
      <c r="HL174" s="68"/>
      <c r="HM174" s="68"/>
      <c r="HN174" s="68"/>
      <c r="HO174" s="68"/>
      <c r="HP174" s="68"/>
      <c r="HQ174" s="68"/>
      <c r="HR174" s="68"/>
      <c r="HS174" s="68"/>
      <c r="HT174" s="68"/>
      <c r="HU174" s="68"/>
      <c r="HV174" s="68"/>
      <c r="HW174" s="68"/>
      <c r="HX174" s="68"/>
      <c r="HY174" s="68"/>
      <c r="HZ174" s="68"/>
      <c r="IA174" s="68"/>
      <c r="IB174" s="68"/>
      <c r="IC174" s="68"/>
      <c r="ID174" s="68"/>
      <c r="IE174" s="68"/>
      <c r="IF174" s="68"/>
      <c r="IG174" s="68"/>
      <c r="IH174" s="68"/>
      <c r="II174" s="68"/>
      <c r="IJ174" s="68"/>
      <c r="IK174" s="68"/>
      <c r="IL174" s="68"/>
      <c r="IM174" s="68"/>
    </row>
    <row r="175" spans="1:247" x14ac:dyDescent="0.35">
      <c r="A175" s="244">
        <v>7372</v>
      </c>
      <c r="B175" s="233" t="s">
        <v>2160</v>
      </c>
      <c r="C175" s="186" t="s">
        <v>108</v>
      </c>
      <c r="D175" s="245" t="s">
        <v>2001</v>
      </c>
      <c r="E175" s="119">
        <f>+$E$3</f>
        <v>1.0740000000000001</v>
      </c>
      <c r="F175" s="75">
        <f t="shared" si="30"/>
        <v>1.0209999999999999</v>
      </c>
      <c r="G175" s="252">
        <f>+$G$3</f>
        <v>1.0269999999999999</v>
      </c>
      <c r="H175" s="119">
        <f>+$H$3</f>
        <v>1.0029999999999999</v>
      </c>
      <c r="I175" s="234">
        <f>+$I$3</f>
        <v>1.0289999999999999</v>
      </c>
      <c r="J175" s="234">
        <f>+$J$3</f>
        <v>1.0049999999999999</v>
      </c>
      <c r="K175" s="234">
        <f>+$K$3</f>
        <v>1.026</v>
      </c>
      <c r="L175" s="234">
        <f>+$L$3</f>
        <v>1.0129999999999999</v>
      </c>
      <c r="M175" s="234">
        <f>+$M$3</f>
        <v>1.0029999999999999</v>
      </c>
      <c r="N175" s="252">
        <f>+$N$3</f>
        <v>1.0029999999999999</v>
      </c>
      <c r="O175" s="80">
        <f>+$O$3</f>
        <v>1.0209999999999999</v>
      </c>
      <c r="P175" s="119">
        <f>+$P$3</f>
        <v>1.032</v>
      </c>
      <c r="Q175" s="252">
        <f>+$Q$3</f>
        <v>1.0349999999999999</v>
      </c>
      <c r="R175" s="81">
        <f t="shared" si="31"/>
        <v>1.3319480854780448</v>
      </c>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row>
    <row r="176" spans="1:247" x14ac:dyDescent="0.35">
      <c r="A176" s="244">
        <v>7381</v>
      </c>
      <c r="B176" s="233" t="s">
        <v>2161</v>
      </c>
      <c r="C176" s="186" t="s">
        <v>108</v>
      </c>
      <c r="D176" s="245" t="s">
        <v>2001</v>
      </c>
      <c r="E176" s="119"/>
      <c r="F176" s="75">
        <f t="shared" si="30"/>
        <v>1.0209999999999999</v>
      </c>
      <c r="G176" s="252"/>
      <c r="H176" s="119"/>
      <c r="I176" s="234"/>
      <c r="J176" s="234"/>
      <c r="K176" s="234"/>
      <c r="L176" s="234"/>
      <c r="M176" s="234"/>
      <c r="N176" s="252"/>
      <c r="O176" s="80"/>
      <c r="P176" s="119"/>
      <c r="Q176" s="252"/>
      <c r="R176" s="81">
        <f t="shared" si="31"/>
        <v>1.0209999999999999</v>
      </c>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c r="HI176" s="68"/>
      <c r="HJ176" s="68"/>
      <c r="HK176" s="68"/>
      <c r="HL176" s="68"/>
      <c r="HM176" s="68"/>
      <c r="HN176" s="68"/>
      <c r="HO176" s="68"/>
      <c r="HP176" s="68"/>
      <c r="HQ176" s="68"/>
      <c r="HR176" s="68"/>
      <c r="HS176" s="68"/>
      <c r="HT176" s="68"/>
      <c r="HU176" s="68"/>
      <c r="HV176" s="68"/>
      <c r="HW176" s="68"/>
      <c r="HX176" s="68"/>
      <c r="HY176" s="68"/>
      <c r="HZ176" s="68"/>
      <c r="IA176" s="68"/>
      <c r="IB176" s="68"/>
      <c r="IC176" s="68"/>
      <c r="ID176" s="68"/>
      <c r="IE176" s="68"/>
      <c r="IF176" s="68"/>
      <c r="IG176" s="68"/>
      <c r="IH176" s="68"/>
      <c r="II176" s="68"/>
      <c r="IJ176" s="68"/>
      <c r="IK176" s="68"/>
      <c r="IL176" s="68"/>
      <c r="IM176" s="68"/>
    </row>
    <row r="177" spans="1:247" x14ac:dyDescent="0.35">
      <c r="A177" s="244">
        <v>7382</v>
      </c>
      <c r="B177" s="233" t="s">
        <v>2162</v>
      </c>
      <c r="C177" s="186" t="s">
        <v>108</v>
      </c>
      <c r="D177" s="245" t="s">
        <v>2001</v>
      </c>
      <c r="E177" s="119"/>
      <c r="F177" s="75">
        <f t="shared" si="30"/>
        <v>1.0209999999999999</v>
      </c>
      <c r="G177" s="252"/>
      <c r="H177" s="119"/>
      <c r="I177" s="234"/>
      <c r="J177" s="234"/>
      <c r="K177" s="234"/>
      <c r="L177" s="234"/>
      <c r="M177" s="234"/>
      <c r="N177" s="252"/>
      <c r="O177" s="80"/>
      <c r="P177" s="119"/>
      <c r="Q177" s="252"/>
      <c r="R177" s="81">
        <f t="shared" si="31"/>
        <v>1.0209999999999999</v>
      </c>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row>
    <row r="178" spans="1:247" x14ac:dyDescent="0.35">
      <c r="A178" s="244">
        <v>7384</v>
      </c>
      <c r="B178" s="233" t="s">
        <v>2163</v>
      </c>
      <c r="C178" s="186" t="s">
        <v>108</v>
      </c>
      <c r="D178" s="245" t="s">
        <v>1993</v>
      </c>
      <c r="E178" s="119"/>
      <c r="F178" s="75">
        <f t="shared" si="30"/>
        <v>1.0209999999999999</v>
      </c>
      <c r="G178" s="252"/>
      <c r="H178" s="119"/>
      <c r="I178" s="234"/>
      <c r="J178" s="234"/>
      <c r="K178" s="234"/>
      <c r="L178" s="234"/>
      <c r="M178" s="234"/>
      <c r="N178" s="252"/>
      <c r="O178" s="80"/>
      <c r="P178" s="119"/>
      <c r="Q178" s="252"/>
      <c r="R178" s="81">
        <f t="shared" si="31"/>
        <v>1.0209999999999999</v>
      </c>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row>
    <row r="179" spans="1:247" x14ac:dyDescent="0.35">
      <c r="A179" s="244">
        <v>7385</v>
      </c>
      <c r="B179" s="233" t="s">
        <v>2164</v>
      </c>
      <c r="C179" s="186" t="s">
        <v>108</v>
      </c>
      <c r="D179" s="245" t="s">
        <v>2001</v>
      </c>
      <c r="E179" s="119">
        <f>+$E$3</f>
        <v>1.0740000000000001</v>
      </c>
      <c r="F179" s="75">
        <f t="shared" si="30"/>
        <v>1.0209999999999999</v>
      </c>
      <c r="G179" s="252"/>
      <c r="H179" s="119"/>
      <c r="I179" s="234"/>
      <c r="J179" s="234"/>
      <c r="K179" s="234"/>
      <c r="L179" s="234">
        <f>+$L$3</f>
        <v>1.0129999999999999</v>
      </c>
      <c r="M179" s="234"/>
      <c r="N179" s="252">
        <f>+$N$3</f>
        <v>1.0029999999999999</v>
      </c>
      <c r="O179" s="80"/>
      <c r="P179" s="119"/>
      <c r="Q179" s="252"/>
      <c r="R179" s="81">
        <f t="shared" si="31"/>
        <v>1.1141416296059998</v>
      </c>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row>
    <row r="180" spans="1:247" x14ac:dyDescent="0.35">
      <c r="A180" s="244">
        <v>7386</v>
      </c>
      <c r="B180" s="233" t="s">
        <v>2165</v>
      </c>
      <c r="C180" s="186" t="s">
        <v>108</v>
      </c>
      <c r="D180" s="245" t="s">
        <v>2001</v>
      </c>
      <c r="E180" s="119">
        <f>+$E$3</f>
        <v>1.0740000000000001</v>
      </c>
      <c r="F180" s="75">
        <f t="shared" si="30"/>
        <v>1.0209999999999999</v>
      </c>
      <c r="G180" s="252">
        <f>+$G$3</f>
        <v>1.0269999999999999</v>
      </c>
      <c r="H180" s="119">
        <f>+$H$3</f>
        <v>1.0029999999999999</v>
      </c>
      <c r="I180" s="234">
        <f>+$I$3</f>
        <v>1.0289999999999999</v>
      </c>
      <c r="J180" s="234">
        <f>+$J$3</f>
        <v>1.0049999999999999</v>
      </c>
      <c r="K180" s="234">
        <f>+$K$3</f>
        <v>1.026</v>
      </c>
      <c r="L180" s="234">
        <f>+$L$3</f>
        <v>1.0129999999999999</v>
      </c>
      <c r="M180" s="234">
        <f>+$M$3</f>
        <v>1.0029999999999999</v>
      </c>
      <c r="N180" s="252">
        <f>+$N$3</f>
        <v>1.0029999999999999</v>
      </c>
      <c r="O180" s="80">
        <f>+$O$3</f>
        <v>1.0209999999999999</v>
      </c>
      <c r="P180" s="119">
        <f>+$P$3</f>
        <v>1.032</v>
      </c>
      <c r="Q180" s="252">
        <f>+$Q$3</f>
        <v>1.0349999999999999</v>
      </c>
      <c r="R180" s="81">
        <f t="shared" si="31"/>
        <v>1.3319480854780448</v>
      </c>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row>
    <row r="181" spans="1:247" x14ac:dyDescent="0.35">
      <c r="A181" s="244">
        <v>7387</v>
      </c>
      <c r="B181" s="233" t="s">
        <v>2166</v>
      </c>
      <c r="C181" s="186" t="s">
        <v>108</v>
      </c>
      <c r="D181" s="245" t="s">
        <v>2001</v>
      </c>
      <c r="E181" s="119"/>
      <c r="F181" s="75">
        <f t="shared" si="30"/>
        <v>1.0209999999999999</v>
      </c>
      <c r="G181" s="252"/>
      <c r="H181" s="119"/>
      <c r="I181" s="234"/>
      <c r="J181" s="234"/>
      <c r="K181" s="234"/>
      <c r="L181" s="234"/>
      <c r="M181" s="234"/>
      <c r="N181" s="252"/>
      <c r="O181" s="80"/>
      <c r="P181" s="119"/>
      <c r="Q181" s="252"/>
      <c r="R181" s="81">
        <f t="shared" si="31"/>
        <v>1.0209999999999999</v>
      </c>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row>
    <row r="182" spans="1:247" x14ac:dyDescent="0.35">
      <c r="A182" s="244">
        <v>7389</v>
      </c>
      <c r="B182" s="233" t="s">
        <v>2167</v>
      </c>
      <c r="C182" s="186" t="s">
        <v>108</v>
      </c>
      <c r="D182" s="245" t="s">
        <v>2001</v>
      </c>
      <c r="E182" s="119"/>
      <c r="F182" s="75" t="s">
        <v>2168</v>
      </c>
      <c r="G182" s="252"/>
      <c r="H182" s="119"/>
      <c r="I182" s="234"/>
      <c r="J182" s="234"/>
      <c r="K182" s="234"/>
      <c r="L182" s="234"/>
      <c r="M182" s="234"/>
      <c r="N182" s="252"/>
      <c r="O182" s="80"/>
      <c r="P182" s="119"/>
      <c r="Q182" s="252"/>
      <c r="R182" s="81">
        <v>1.0209999999999999</v>
      </c>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c r="HI182" s="68"/>
      <c r="HJ182" s="68"/>
      <c r="HK182" s="68"/>
      <c r="HL182" s="68"/>
      <c r="HM182" s="68"/>
      <c r="HN182" s="68"/>
      <c r="HO182" s="68"/>
      <c r="HP182" s="68"/>
      <c r="HQ182" s="68"/>
      <c r="HR182" s="68"/>
      <c r="HS182" s="68"/>
      <c r="HT182" s="68"/>
      <c r="HU182" s="68"/>
      <c r="HV182" s="68"/>
      <c r="HW182" s="68"/>
      <c r="HX182" s="68"/>
      <c r="HY182" s="68"/>
      <c r="HZ182" s="68"/>
      <c r="IA182" s="68"/>
      <c r="IB182" s="68"/>
      <c r="IC182" s="68"/>
      <c r="ID182" s="68"/>
      <c r="IE182" s="68"/>
      <c r="IF182" s="68"/>
      <c r="IG182" s="68"/>
      <c r="IH182" s="68"/>
      <c r="II182" s="68"/>
      <c r="IJ182" s="68"/>
      <c r="IK182" s="68"/>
      <c r="IL182" s="68"/>
      <c r="IM182" s="68"/>
    </row>
    <row r="183" spans="1:247" x14ac:dyDescent="0.35">
      <c r="A183" s="244">
        <v>7411</v>
      </c>
      <c r="B183" s="233" t="s">
        <v>2169</v>
      </c>
      <c r="C183" s="186" t="s">
        <v>108</v>
      </c>
      <c r="D183" s="245" t="s">
        <v>2001</v>
      </c>
      <c r="E183" s="119"/>
      <c r="F183" s="75">
        <f t="shared" si="30"/>
        <v>1.0209999999999999</v>
      </c>
      <c r="G183" s="252"/>
      <c r="H183" s="119"/>
      <c r="I183" s="234"/>
      <c r="J183" s="234"/>
      <c r="K183" s="234"/>
      <c r="L183" s="234"/>
      <c r="M183" s="234"/>
      <c r="N183" s="252"/>
      <c r="O183" s="80"/>
      <c r="P183" s="119"/>
      <c r="Q183" s="252"/>
      <c r="R183" s="81">
        <f t="shared" si="31"/>
        <v>1.0209999999999999</v>
      </c>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c r="HI183" s="68"/>
      <c r="HJ183" s="68"/>
      <c r="HK183" s="68"/>
      <c r="HL183" s="68"/>
      <c r="HM183" s="68"/>
      <c r="HN183" s="68"/>
      <c r="HO183" s="68"/>
      <c r="HP183" s="68"/>
      <c r="HQ183" s="68"/>
      <c r="HR183" s="68"/>
      <c r="HS183" s="68"/>
      <c r="HT183" s="68"/>
      <c r="HU183" s="68"/>
      <c r="HV183" s="68"/>
      <c r="HW183" s="68"/>
      <c r="HX183" s="68"/>
      <c r="HY183" s="68"/>
      <c r="HZ183" s="68"/>
      <c r="IA183" s="68"/>
      <c r="IB183" s="68"/>
      <c r="IC183" s="68"/>
      <c r="ID183" s="68"/>
      <c r="IE183" s="68"/>
      <c r="IF183" s="68"/>
      <c r="IG183" s="68"/>
      <c r="IH183" s="68"/>
      <c r="II183" s="68"/>
      <c r="IJ183" s="68"/>
      <c r="IK183" s="68"/>
      <c r="IL183" s="68"/>
      <c r="IM183" s="68"/>
    </row>
    <row r="184" spans="1:247" x14ac:dyDescent="0.35">
      <c r="A184" s="244">
        <v>7412</v>
      </c>
      <c r="B184" s="233" t="s">
        <v>2170</v>
      </c>
      <c r="C184" s="186" t="s">
        <v>108</v>
      </c>
      <c r="D184" s="245" t="s">
        <v>2001</v>
      </c>
      <c r="E184" s="119"/>
      <c r="F184" s="75">
        <f t="shared" si="30"/>
        <v>1.0209999999999999</v>
      </c>
      <c r="G184" s="252"/>
      <c r="H184" s="119">
        <f t="shared" ref="H184:H192" si="47">+$H$3</f>
        <v>1.0029999999999999</v>
      </c>
      <c r="I184" s="234"/>
      <c r="J184" s="234"/>
      <c r="K184" s="234"/>
      <c r="L184" s="234"/>
      <c r="M184" s="234"/>
      <c r="N184" s="252"/>
      <c r="O184" s="80"/>
      <c r="P184" s="119"/>
      <c r="Q184" s="252"/>
      <c r="R184" s="81">
        <f t="shared" si="31"/>
        <v>1.0240629999999997</v>
      </c>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c r="HI184" s="68"/>
      <c r="HJ184" s="68"/>
      <c r="HK184" s="68"/>
      <c r="HL184" s="68"/>
      <c r="HM184" s="68"/>
      <c r="HN184" s="68"/>
      <c r="HO184" s="68"/>
      <c r="HP184" s="68"/>
      <c r="HQ184" s="68"/>
      <c r="HR184" s="68"/>
      <c r="HS184" s="68"/>
      <c r="HT184" s="68"/>
      <c r="HU184" s="68"/>
      <c r="HV184" s="68"/>
      <c r="HW184" s="68"/>
      <c r="HX184" s="68"/>
      <c r="HY184" s="68"/>
      <c r="HZ184" s="68"/>
      <c r="IA184" s="68"/>
      <c r="IB184" s="68"/>
      <c r="IC184" s="68"/>
      <c r="ID184" s="68"/>
      <c r="IE184" s="68"/>
      <c r="IF184" s="68"/>
      <c r="IG184" s="68"/>
      <c r="IH184" s="68"/>
      <c r="II184" s="68"/>
      <c r="IJ184" s="68"/>
      <c r="IK184" s="68"/>
      <c r="IL184" s="68"/>
      <c r="IM184" s="68"/>
    </row>
    <row r="185" spans="1:247" x14ac:dyDescent="0.35">
      <c r="A185" s="244">
        <v>7413</v>
      </c>
      <c r="B185" s="233" t="s">
        <v>2171</v>
      </c>
      <c r="C185" s="186" t="s">
        <v>108</v>
      </c>
      <c r="D185" s="245" t="s">
        <v>2001</v>
      </c>
      <c r="E185" s="119">
        <f>+$E$3</f>
        <v>1.0740000000000001</v>
      </c>
      <c r="F185" s="75">
        <f t="shared" si="30"/>
        <v>1.0209999999999999</v>
      </c>
      <c r="G185" s="252">
        <f t="shared" ref="G185:G194" si="48">+$G$3</f>
        <v>1.0269999999999999</v>
      </c>
      <c r="H185" s="119">
        <f t="shared" si="47"/>
        <v>1.0029999999999999</v>
      </c>
      <c r="I185" s="234">
        <f t="shared" ref="I185:I192" si="49">+$I$3</f>
        <v>1.0289999999999999</v>
      </c>
      <c r="J185" s="234">
        <f t="shared" ref="J185:J195" si="50">+$J$3</f>
        <v>1.0049999999999999</v>
      </c>
      <c r="K185" s="234">
        <f>+$K$3</f>
        <v>1.026</v>
      </c>
      <c r="L185" s="234">
        <f>+$L$3</f>
        <v>1.0129999999999999</v>
      </c>
      <c r="M185" s="234">
        <f>+$M$3</f>
        <v>1.0029999999999999</v>
      </c>
      <c r="N185" s="252">
        <f t="shared" ref="N185:N194" si="51">+$N$3</f>
        <v>1.0029999999999999</v>
      </c>
      <c r="O185" s="80">
        <f t="shared" ref="O185:O192" si="52">+$O$3</f>
        <v>1.0209999999999999</v>
      </c>
      <c r="P185" s="119">
        <f>+$P$3</f>
        <v>1.032</v>
      </c>
      <c r="Q185" s="252">
        <f>+$Q$3</f>
        <v>1.0349999999999999</v>
      </c>
      <c r="R185" s="81">
        <f t="shared" si="31"/>
        <v>1.3319480854780448</v>
      </c>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c r="HI185" s="68"/>
      <c r="HJ185" s="68"/>
      <c r="HK185" s="68"/>
      <c r="HL185" s="68"/>
      <c r="HM185" s="68"/>
      <c r="HN185" s="68"/>
      <c r="HO185" s="68"/>
      <c r="HP185" s="68"/>
      <c r="HQ185" s="68"/>
      <c r="HR185" s="68"/>
      <c r="HS185" s="68"/>
      <c r="HT185" s="68"/>
      <c r="HU185" s="68"/>
      <c r="HV185" s="68"/>
      <c r="HW185" s="68"/>
      <c r="HX185" s="68"/>
      <c r="HY185" s="68"/>
      <c r="HZ185" s="68"/>
      <c r="IA185" s="68"/>
      <c r="IB185" s="68"/>
      <c r="IC185" s="68"/>
      <c r="ID185" s="68"/>
      <c r="IE185" s="68"/>
      <c r="IF185" s="68"/>
      <c r="IG185" s="68"/>
      <c r="IH185" s="68"/>
      <c r="II185" s="68"/>
      <c r="IJ185" s="68"/>
      <c r="IK185" s="68"/>
      <c r="IL185" s="68"/>
      <c r="IM185" s="68"/>
    </row>
    <row r="186" spans="1:247" x14ac:dyDescent="0.35">
      <c r="A186" s="244">
        <v>7414</v>
      </c>
      <c r="B186" s="233" t="s">
        <v>2172</v>
      </c>
      <c r="C186" s="186" t="s">
        <v>108</v>
      </c>
      <c r="D186" s="245" t="s">
        <v>2001</v>
      </c>
      <c r="E186" s="119">
        <f>+$E$3</f>
        <v>1.0740000000000001</v>
      </c>
      <c r="F186" s="75">
        <f t="shared" si="30"/>
        <v>1.0209999999999999</v>
      </c>
      <c r="G186" s="252">
        <f t="shared" si="48"/>
        <v>1.0269999999999999</v>
      </c>
      <c r="H186" s="119">
        <f t="shared" si="47"/>
        <v>1.0029999999999999</v>
      </c>
      <c r="I186" s="234">
        <f t="shared" si="49"/>
        <v>1.0289999999999999</v>
      </c>
      <c r="J186" s="234">
        <f t="shared" si="50"/>
        <v>1.0049999999999999</v>
      </c>
      <c r="K186" s="234">
        <f>+$K$3</f>
        <v>1.026</v>
      </c>
      <c r="L186" s="234">
        <f>+$L$3</f>
        <v>1.0129999999999999</v>
      </c>
      <c r="M186" s="234">
        <f>+$M$3</f>
        <v>1.0029999999999999</v>
      </c>
      <c r="N186" s="252">
        <f t="shared" si="51"/>
        <v>1.0029999999999999</v>
      </c>
      <c r="O186" s="80">
        <f t="shared" si="52"/>
        <v>1.0209999999999999</v>
      </c>
      <c r="P186" s="119"/>
      <c r="Q186" s="252"/>
      <c r="R186" s="81">
        <f t="shared" si="31"/>
        <v>1.2470022895162014</v>
      </c>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row>
    <row r="187" spans="1:247" x14ac:dyDescent="0.35">
      <c r="A187" s="244">
        <v>7415</v>
      </c>
      <c r="B187" s="233" t="s">
        <v>2173</v>
      </c>
      <c r="C187" s="186" t="s">
        <v>108</v>
      </c>
      <c r="D187" s="245" t="s">
        <v>2001</v>
      </c>
      <c r="E187" s="119">
        <f>+$E$3</f>
        <v>1.0740000000000001</v>
      </c>
      <c r="F187" s="75">
        <f t="shared" si="30"/>
        <v>1.0209999999999999</v>
      </c>
      <c r="G187" s="252">
        <f t="shared" si="48"/>
        <v>1.0269999999999999</v>
      </c>
      <c r="H187" s="119">
        <f t="shared" si="47"/>
        <v>1.0029999999999999</v>
      </c>
      <c r="I187" s="234">
        <f t="shared" si="49"/>
        <v>1.0289999999999999</v>
      </c>
      <c r="J187" s="234">
        <f t="shared" si="50"/>
        <v>1.0049999999999999</v>
      </c>
      <c r="K187" s="234"/>
      <c r="L187" s="234"/>
      <c r="M187" s="234">
        <f>+$M$3</f>
        <v>1.0029999999999999</v>
      </c>
      <c r="N187" s="252">
        <f t="shared" si="51"/>
        <v>1.0029999999999999</v>
      </c>
      <c r="O187" s="80">
        <f t="shared" si="52"/>
        <v>1.0209999999999999</v>
      </c>
      <c r="P187" s="119">
        <f t="shared" ref="P187:P194" si="53">+$P$3</f>
        <v>1.032</v>
      </c>
      <c r="Q187" s="252">
        <f t="shared" ref="Q187:Q194" si="54">+$Q$3</f>
        <v>1.0349999999999999</v>
      </c>
      <c r="R187" s="81">
        <f t="shared" si="31"/>
        <v>1.2815350593147223</v>
      </c>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row>
    <row r="188" spans="1:247" x14ac:dyDescent="0.35">
      <c r="A188" s="244">
        <v>7416</v>
      </c>
      <c r="B188" s="233" t="s">
        <v>2174</v>
      </c>
      <c r="C188" s="186" t="s">
        <v>108</v>
      </c>
      <c r="D188" s="245" t="s">
        <v>2001</v>
      </c>
      <c r="E188" s="119">
        <f>+$E$3</f>
        <v>1.0740000000000001</v>
      </c>
      <c r="F188" s="75">
        <f t="shared" si="30"/>
        <v>1.0209999999999999</v>
      </c>
      <c r="G188" s="252">
        <f t="shared" si="48"/>
        <v>1.0269999999999999</v>
      </c>
      <c r="H188" s="119">
        <f t="shared" si="47"/>
        <v>1.0029999999999999</v>
      </c>
      <c r="I188" s="234">
        <f t="shared" si="49"/>
        <v>1.0289999999999999</v>
      </c>
      <c r="J188" s="234">
        <f t="shared" si="50"/>
        <v>1.0049999999999999</v>
      </c>
      <c r="K188" s="234">
        <f>+$K$3</f>
        <v>1.026</v>
      </c>
      <c r="L188" s="234">
        <f>+$L$3</f>
        <v>1.0129999999999999</v>
      </c>
      <c r="M188" s="234">
        <f>+$M$3</f>
        <v>1.0029999999999999</v>
      </c>
      <c r="N188" s="252">
        <f t="shared" si="51"/>
        <v>1.0029999999999999</v>
      </c>
      <c r="O188" s="80">
        <f t="shared" si="52"/>
        <v>1.0209999999999999</v>
      </c>
      <c r="P188" s="119">
        <f t="shared" si="53"/>
        <v>1.032</v>
      </c>
      <c r="Q188" s="252">
        <f t="shared" si="54"/>
        <v>1.0349999999999999</v>
      </c>
      <c r="R188" s="81">
        <f t="shared" si="31"/>
        <v>1.3319480854780448</v>
      </c>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row>
    <row r="189" spans="1:247" x14ac:dyDescent="0.35">
      <c r="A189" s="244">
        <v>7417</v>
      </c>
      <c r="B189" s="233" t="s">
        <v>2175</v>
      </c>
      <c r="C189" s="186" t="s">
        <v>108</v>
      </c>
      <c r="D189" s="245" t="s">
        <v>2001</v>
      </c>
      <c r="E189" s="119">
        <f>+$E$3</f>
        <v>1.0740000000000001</v>
      </c>
      <c r="F189" s="75">
        <f t="shared" si="30"/>
        <v>1.0209999999999999</v>
      </c>
      <c r="G189" s="252">
        <f t="shared" si="48"/>
        <v>1.0269999999999999</v>
      </c>
      <c r="H189" s="119">
        <f t="shared" si="47"/>
        <v>1.0029999999999999</v>
      </c>
      <c r="I189" s="234">
        <f t="shared" si="49"/>
        <v>1.0289999999999999</v>
      </c>
      <c r="J189" s="234">
        <f t="shared" si="50"/>
        <v>1.0049999999999999</v>
      </c>
      <c r="K189" s="234"/>
      <c r="L189" s="234">
        <f>+$L$3</f>
        <v>1.0129999999999999</v>
      </c>
      <c r="M189" s="234">
        <f>+$M$3</f>
        <v>1.0029999999999999</v>
      </c>
      <c r="N189" s="252">
        <f t="shared" si="51"/>
        <v>1.0029999999999999</v>
      </c>
      <c r="O189" s="80">
        <f t="shared" si="52"/>
        <v>1.0209999999999999</v>
      </c>
      <c r="P189" s="119">
        <f t="shared" si="53"/>
        <v>1.032</v>
      </c>
      <c r="Q189" s="252">
        <f t="shared" si="54"/>
        <v>1.0349999999999999</v>
      </c>
      <c r="R189" s="81">
        <f t="shared" si="31"/>
        <v>1.2981950150858137</v>
      </c>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row>
    <row r="190" spans="1:247" x14ac:dyDescent="0.35">
      <c r="A190" s="244">
        <v>7418</v>
      </c>
      <c r="B190" s="233" t="s">
        <v>2176</v>
      </c>
      <c r="C190" s="186" t="s">
        <v>108</v>
      </c>
      <c r="D190" s="245" t="s">
        <v>2001</v>
      </c>
      <c r="E190" s="119"/>
      <c r="F190" s="75">
        <f t="shared" si="30"/>
        <v>1.0209999999999999</v>
      </c>
      <c r="G190" s="252">
        <f t="shared" si="48"/>
        <v>1.0269999999999999</v>
      </c>
      <c r="H190" s="119">
        <f t="shared" si="47"/>
        <v>1.0029999999999999</v>
      </c>
      <c r="I190" s="234">
        <f t="shared" si="49"/>
        <v>1.0289999999999999</v>
      </c>
      <c r="J190" s="234">
        <f t="shared" si="50"/>
        <v>1.0049999999999999</v>
      </c>
      <c r="K190" s="234"/>
      <c r="L190" s="234"/>
      <c r="M190" s="234"/>
      <c r="N190" s="252">
        <f t="shared" si="51"/>
        <v>1.0029999999999999</v>
      </c>
      <c r="O190" s="80">
        <f t="shared" si="52"/>
        <v>1.0209999999999999</v>
      </c>
      <c r="P190" s="119">
        <f t="shared" si="53"/>
        <v>1.032</v>
      </c>
      <c r="Q190" s="252">
        <f t="shared" si="54"/>
        <v>1.0349999999999999</v>
      </c>
      <c r="R190" s="81">
        <f t="shared" si="31"/>
        <v>1.1896666233280813</v>
      </c>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row>
    <row r="191" spans="1:247" x14ac:dyDescent="0.35">
      <c r="A191" s="244">
        <v>7422</v>
      </c>
      <c r="B191" s="233" t="s">
        <v>2177</v>
      </c>
      <c r="C191" s="186" t="s">
        <v>108</v>
      </c>
      <c r="D191" s="245" t="s">
        <v>2001</v>
      </c>
      <c r="E191" s="119"/>
      <c r="F191" s="75">
        <f t="shared" si="30"/>
        <v>1.0209999999999999</v>
      </c>
      <c r="G191" s="252">
        <f t="shared" si="48"/>
        <v>1.0269999999999999</v>
      </c>
      <c r="H191" s="119">
        <f t="shared" si="47"/>
        <v>1.0029999999999999</v>
      </c>
      <c r="I191" s="234">
        <f t="shared" si="49"/>
        <v>1.0289999999999999</v>
      </c>
      <c r="J191" s="234">
        <f t="shared" si="50"/>
        <v>1.0049999999999999</v>
      </c>
      <c r="K191" s="234"/>
      <c r="L191" s="234">
        <f>+$L$3</f>
        <v>1.0129999999999999</v>
      </c>
      <c r="M191" s="234"/>
      <c r="N191" s="252">
        <f t="shared" si="51"/>
        <v>1.0029999999999999</v>
      </c>
      <c r="O191" s="80">
        <f t="shared" si="52"/>
        <v>1.0209999999999999</v>
      </c>
      <c r="P191" s="119">
        <f t="shared" si="53"/>
        <v>1.032</v>
      </c>
      <c r="Q191" s="252">
        <f t="shared" si="54"/>
        <v>1.0349999999999999</v>
      </c>
      <c r="R191" s="81">
        <f t="shared" si="31"/>
        <v>1.2051322894313463</v>
      </c>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row>
    <row r="192" spans="1:247" x14ac:dyDescent="0.35">
      <c r="A192" s="244">
        <v>7431</v>
      </c>
      <c r="B192" s="233" t="s">
        <v>2178</v>
      </c>
      <c r="C192" s="186" t="s">
        <v>108</v>
      </c>
      <c r="D192" s="245" t="s">
        <v>2001</v>
      </c>
      <c r="E192" s="119">
        <f>+$E$3</f>
        <v>1.0740000000000001</v>
      </c>
      <c r="F192" s="75">
        <f t="shared" si="30"/>
        <v>1.0209999999999999</v>
      </c>
      <c r="G192" s="252">
        <f t="shared" si="48"/>
        <v>1.0269999999999999</v>
      </c>
      <c r="H192" s="119">
        <f t="shared" si="47"/>
        <v>1.0029999999999999</v>
      </c>
      <c r="I192" s="234">
        <f t="shared" si="49"/>
        <v>1.0289999999999999</v>
      </c>
      <c r="J192" s="234">
        <f t="shared" si="50"/>
        <v>1.0049999999999999</v>
      </c>
      <c r="K192" s="234">
        <f>+$K$3</f>
        <v>1.026</v>
      </c>
      <c r="L192" s="234"/>
      <c r="M192" s="234">
        <f>+$M$3</f>
        <v>1.0029999999999999</v>
      </c>
      <c r="N192" s="252">
        <f t="shared" si="51"/>
        <v>1.0029999999999999</v>
      </c>
      <c r="O192" s="80">
        <f t="shared" si="52"/>
        <v>1.0209999999999999</v>
      </c>
      <c r="P192" s="119">
        <f t="shared" si="53"/>
        <v>1.032</v>
      </c>
      <c r="Q192" s="252">
        <f t="shared" si="54"/>
        <v>1.0349999999999999</v>
      </c>
      <c r="R192" s="81">
        <f t="shared" si="31"/>
        <v>1.3148549708569053</v>
      </c>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row>
    <row r="193" spans="1:247" x14ac:dyDescent="0.35">
      <c r="A193" s="244">
        <v>7440</v>
      </c>
      <c r="B193" s="233" t="s">
        <v>2179</v>
      </c>
      <c r="C193" s="186" t="s">
        <v>108</v>
      </c>
      <c r="D193" s="245" t="s">
        <v>2001</v>
      </c>
      <c r="E193" s="119">
        <v>1.0740000000000001</v>
      </c>
      <c r="F193" s="75">
        <v>1.0209999999999999</v>
      </c>
      <c r="G193" s="252">
        <v>1.0269999999999999</v>
      </c>
      <c r="H193" s="119">
        <v>1.0029999999999999</v>
      </c>
      <c r="I193" s="234">
        <v>1.0289999999999999</v>
      </c>
      <c r="J193" s="234">
        <v>1.0049999999999999</v>
      </c>
      <c r="K193" s="234">
        <v>1.026</v>
      </c>
      <c r="L193" s="234"/>
      <c r="M193" s="234">
        <v>1.0029999999999999</v>
      </c>
      <c r="N193" s="252">
        <v>1.0029999999999999</v>
      </c>
      <c r="O193" s="80">
        <v>1.0209999999999999</v>
      </c>
      <c r="P193" s="119">
        <v>1.032</v>
      </c>
      <c r="Q193" s="252">
        <v>1.0349999999999999</v>
      </c>
      <c r="R193" s="81">
        <v>1.3148549708569053</v>
      </c>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row>
    <row r="194" spans="1:247" x14ac:dyDescent="0.35">
      <c r="A194" s="244">
        <v>7442</v>
      </c>
      <c r="B194" s="233" t="s">
        <v>2180</v>
      </c>
      <c r="C194" s="186" t="s">
        <v>108</v>
      </c>
      <c r="D194" s="245" t="s">
        <v>2001</v>
      </c>
      <c r="E194" s="119"/>
      <c r="F194" s="75">
        <f t="shared" si="30"/>
        <v>1.0209999999999999</v>
      </c>
      <c r="G194" s="252">
        <f t="shared" si="48"/>
        <v>1.0269999999999999</v>
      </c>
      <c r="H194" s="119"/>
      <c r="I194" s="234"/>
      <c r="J194" s="234">
        <f t="shared" si="50"/>
        <v>1.0049999999999999</v>
      </c>
      <c r="K194" s="234"/>
      <c r="L194" s="234"/>
      <c r="M194" s="234"/>
      <c r="N194" s="252">
        <f t="shared" si="51"/>
        <v>1.0029999999999999</v>
      </c>
      <c r="O194" s="80"/>
      <c r="P194" s="119">
        <f t="shared" si="53"/>
        <v>1.032</v>
      </c>
      <c r="Q194" s="252">
        <f t="shared" si="54"/>
        <v>1.0349999999999999</v>
      </c>
      <c r="R194" s="81">
        <f t="shared" si="31"/>
        <v>1.12897214704308</v>
      </c>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c r="IL194" s="68"/>
      <c r="IM194" s="68"/>
    </row>
    <row r="195" spans="1:247" x14ac:dyDescent="0.35">
      <c r="A195" s="244">
        <v>7443</v>
      </c>
      <c r="B195" s="233" t="s">
        <v>2181</v>
      </c>
      <c r="C195" s="186" t="s">
        <v>108</v>
      </c>
      <c r="D195" s="245" t="s">
        <v>2001</v>
      </c>
      <c r="E195" s="119"/>
      <c r="F195" s="75">
        <f t="shared" si="30"/>
        <v>1.0209999999999999</v>
      </c>
      <c r="G195" s="252"/>
      <c r="H195" s="119">
        <f>+$H$3</f>
        <v>1.0029999999999999</v>
      </c>
      <c r="I195" s="234">
        <f>+$I$3</f>
        <v>1.0289999999999999</v>
      </c>
      <c r="J195" s="234">
        <f t="shared" si="50"/>
        <v>1.0049999999999999</v>
      </c>
      <c r="K195" s="234"/>
      <c r="L195" s="234"/>
      <c r="M195" s="234"/>
      <c r="N195" s="252"/>
      <c r="O195" s="80"/>
      <c r="P195" s="119"/>
      <c r="Q195" s="252"/>
      <c r="R195" s="81">
        <f t="shared" si="31"/>
        <v>1.0590296311349996</v>
      </c>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c r="HI195" s="68"/>
      <c r="HJ195" s="68"/>
      <c r="HK195" s="68"/>
      <c r="HL195" s="68"/>
      <c r="HM195" s="68"/>
      <c r="HN195" s="68"/>
      <c r="HO195" s="68"/>
      <c r="HP195" s="68"/>
      <c r="HQ195" s="68"/>
      <c r="HR195" s="68"/>
      <c r="HS195" s="68"/>
      <c r="HT195" s="68"/>
      <c r="HU195" s="68"/>
      <c r="HV195" s="68"/>
      <c r="HW195" s="68"/>
      <c r="HX195" s="68"/>
      <c r="HY195" s="68"/>
      <c r="HZ195" s="68"/>
      <c r="IA195" s="68"/>
      <c r="IB195" s="68"/>
      <c r="IC195" s="68"/>
      <c r="ID195" s="68"/>
      <c r="IE195" s="68"/>
      <c r="IF195" s="68"/>
      <c r="IG195" s="68"/>
      <c r="IH195" s="68"/>
      <c r="II195" s="68"/>
      <c r="IJ195" s="68"/>
      <c r="IK195" s="68"/>
      <c r="IL195" s="68"/>
      <c r="IM195" s="68"/>
    </row>
    <row r="196" spans="1:247" x14ac:dyDescent="0.35">
      <c r="A196" s="244">
        <v>7444</v>
      </c>
      <c r="B196" s="233" t="s">
        <v>2182</v>
      </c>
      <c r="C196" s="186" t="s">
        <v>108</v>
      </c>
      <c r="D196" s="245" t="s">
        <v>2001</v>
      </c>
      <c r="E196" s="119"/>
      <c r="F196" s="75">
        <f t="shared" si="30"/>
        <v>1.0209999999999999</v>
      </c>
      <c r="G196" s="252"/>
      <c r="H196" s="119"/>
      <c r="I196" s="234"/>
      <c r="J196" s="234"/>
      <c r="K196" s="234"/>
      <c r="L196" s="234"/>
      <c r="M196" s="234"/>
      <c r="N196" s="252"/>
      <c r="O196" s="80"/>
      <c r="P196" s="119"/>
      <c r="Q196" s="252"/>
      <c r="R196" s="81">
        <f t="shared" si="31"/>
        <v>1.0209999999999999</v>
      </c>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c r="HI196" s="68"/>
      <c r="HJ196" s="68"/>
      <c r="HK196" s="68"/>
      <c r="HL196" s="68"/>
      <c r="HM196" s="68"/>
      <c r="HN196" s="68"/>
      <c r="HO196" s="68"/>
      <c r="HP196" s="68"/>
      <c r="HQ196" s="68"/>
      <c r="HR196" s="68"/>
      <c r="HS196" s="68"/>
      <c r="HT196" s="68"/>
      <c r="HU196" s="68"/>
      <c r="HV196" s="68"/>
      <c r="HW196" s="68"/>
      <c r="HX196" s="68"/>
      <c r="HY196" s="68"/>
      <c r="HZ196" s="68"/>
      <c r="IA196" s="68"/>
      <c r="IB196" s="68"/>
      <c r="IC196" s="68"/>
      <c r="ID196" s="68"/>
      <c r="IE196" s="68"/>
      <c r="IF196" s="68"/>
      <c r="IG196" s="68"/>
      <c r="IH196" s="68"/>
      <c r="II196" s="68"/>
      <c r="IJ196" s="68"/>
      <c r="IK196" s="68"/>
      <c r="IL196" s="68"/>
      <c r="IM196" s="68"/>
    </row>
    <row r="197" spans="1:247" x14ac:dyDescent="0.35">
      <c r="A197" s="244">
        <v>7445</v>
      </c>
      <c r="B197" s="233" t="s">
        <v>2183</v>
      </c>
      <c r="C197" s="186" t="s">
        <v>108</v>
      </c>
      <c r="D197" s="245" t="s">
        <v>2001</v>
      </c>
      <c r="E197" s="119"/>
      <c r="F197" s="75">
        <f t="shared" si="30"/>
        <v>1.0209999999999999</v>
      </c>
      <c r="G197" s="252"/>
      <c r="H197" s="119"/>
      <c r="I197" s="234"/>
      <c r="J197" s="234"/>
      <c r="K197" s="234"/>
      <c r="L197" s="234"/>
      <c r="M197" s="234"/>
      <c r="N197" s="252"/>
      <c r="O197" s="80"/>
      <c r="P197" s="119"/>
      <c r="Q197" s="252"/>
      <c r="R197" s="81">
        <f t="shared" si="31"/>
        <v>1.0209999999999999</v>
      </c>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c r="HI197" s="68"/>
      <c r="HJ197" s="68"/>
      <c r="HK197" s="68"/>
      <c r="HL197" s="68"/>
      <c r="HM197" s="68"/>
      <c r="HN197" s="68"/>
      <c r="HO197" s="68"/>
      <c r="HP197" s="68"/>
      <c r="HQ197" s="68"/>
      <c r="HR197" s="68"/>
      <c r="HS197" s="68"/>
      <c r="HT197" s="68"/>
      <c r="HU197" s="68"/>
      <c r="HV197" s="68"/>
      <c r="HW197" s="68"/>
      <c r="HX197" s="68"/>
      <c r="HY197" s="68"/>
      <c r="HZ197" s="68"/>
      <c r="IA197" s="68"/>
      <c r="IB197" s="68"/>
      <c r="IC197" s="68"/>
      <c r="ID197" s="68"/>
      <c r="IE197" s="68"/>
      <c r="IF197" s="68"/>
      <c r="IG197" s="68"/>
      <c r="IH197" s="68"/>
      <c r="II197" s="68"/>
      <c r="IJ197" s="68"/>
      <c r="IK197" s="68"/>
      <c r="IL197" s="68"/>
      <c r="IM197" s="68"/>
    </row>
    <row r="198" spans="1:247" x14ac:dyDescent="0.35">
      <c r="A198" s="244">
        <v>7446</v>
      </c>
      <c r="B198" s="233" t="s">
        <v>2184</v>
      </c>
      <c r="C198" s="186" t="s">
        <v>108</v>
      </c>
      <c r="D198" s="245" t="s">
        <v>2001</v>
      </c>
      <c r="E198" s="119"/>
      <c r="F198" s="75">
        <f t="shared" si="30"/>
        <v>1.0209999999999999</v>
      </c>
      <c r="G198" s="252"/>
      <c r="H198" s="119"/>
      <c r="I198" s="234"/>
      <c r="J198" s="234"/>
      <c r="K198" s="234"/>
      <c r="L198" s="234"/>
      <c r="M198" s="234"/>
      <c r="N198" s="252"/>
      <c r="O198" s="80"/>
      <c r="P198" s="119"/>
      <c r="Q198" s="252"/>
      <c r="R198" s="81">
        <f t="shared" si="31"/>
        <v>1.0209999999999999</v>
      </c>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c r="HI198" s="68"/>
      <c r="HJ198" s="68"/>
      <c r="HK198" s="68"/>
      <c r="HL198" s="68"/>
      <c r="HM198" s="68"/>
      <c r="HN198" s="68"/>
      <c r="HO198" s="68"/>
      <c r="HP198" s="68"/>
      <c r="HQ198" s="68"/>
      <c r="HR198" s="68"/>
      <c r="HS198" s="68"/>
      <c r="HT198" s="68"/>
      <c r="HU198" s="68"/>
      <c r="HV198" s="68"/>
      <c r="HW198" s="68"/>
      <c r="HX198" s="68"/>
      <c r="HY198" s="68"/>
      <c r="HZ198" s="68"/>
      <c r="IA198" s="68"/>
      <c r="IB198" s="68"/>
      <c r="IC198" s="68"/>
      <c r="ID198" s="68"/>
      <c r="IE198" s="68"/>
      <c r="IF198" s="68"/>
      <c r="IG198" s="68"/>
      <c r="IH198" s="68"/>
      <c r="II198" s="68"/>
      <c r="IJ198" s="68"/>
      <c r="IK198" s="68"/>
      <c r="IL198" s="68"/>
      <c r="IM198" s="68"/>
    </row>
    <row r="199" spans="1:247" x14ac:dyDescent="0.35">
      <c r="A199" s="244">
        <v>7448</v>
      </c>
      <c r="B199" s="233" t="s">
        <v>2185</v>
      </c>
      <c r="C199" s="186" t="s">
        <v>108</v>
      </c>
      <c r="D199" s="245" t="s">
        <v>2001</v>
      </c>
      <c r="E199" s="119"/>
      <c r="F199" s="75">
        <f t="shared" si="30"/>
        <v>1.0209999999999999</v>
      </c>
      <c r="G199" s="252">
        <f>+$G$3</f>
        <v>1.0269999999999999</v>
      </c>
      <c r="H199" s="119"/>
      <c r="I199" s="234"/>
      <c r="J199" s="234"/>
      <c r="K199" s="234"/>
      <c r="L199" s="234">
        <f>+$L$3</f>
        <v>1.0129999999999999</v>
      </c>
      <c r="M199" s="234"/>
      <c r="N199" s="252">
        <f>+$N$3</f>
        <v>1.0029999999999999</v>
      </c>
      <c r="O199" s="80"/>
      <c r="P199" s="119">
        <f t="shared" ref="P199:P204" si="55">+$P$3</f>
        <v>1.032</v>
      </c>
      <c r="Q199" s="252">
        <f t="shared" ref="Q199:Q204" si="56">+$Q$3</f>
        <v>1.0349999999999999</v>
      </c>
      <c r="R199" s="81">
        <f t="shared" si="31"/>
        <v>1.1379589900046172</v>
      </c>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c r="HI199" s="68"/>
      <c r="HJ199" s="68"/>
      <c r="HK199" s="68"/>
      <c r="HL199" s="68"/>
      <c r="HM199" s="68"/>
      <c r="HN199" s="68"/>
      <c r="HO199" s="68"/>
      <c r="HP199" s="68"/>
      <c r="HQ199" s="68"/>
      <c r="HR199" s="68"/>
      <c r="HS199" s="68"/>
      <c r="HT199" s="68"/>
      <c r="HU199" s="68"/>
      <c r="HV199" s="68"/>
      <c r="HW199" s="68"/>
      <c r="HX199" s="68"/>
      <c r="HY199" s="68"/>
      <c r="HZ199" s="68"/>
      <c r="IA199" s="68"/>
      <c r="IB199" s="68"/>
      <c r="IC199" s="68"/>
      <c r="ID199" s="68"/>
      <c r="IE199" s="68"/>
      <c r="IF199" s="68"/>
      <c r="IG199" s="68"/>
      <c r="IH199" s="68"/>
      <c r="II199" s="68"/>
      <c r="IJ199" s="68"/>
      <c r="IK199" s="68"/>
      <c r="IL199" s="68"/>
      <c r="IM199" s="68"/>
    </row>
    <row r="200" spans="1:247" x14ac:dyDescent="0.35">
      <c r="A200" s="244">
        <v>7449</v>
      </c>
      <c r="B200" s="233" t="s">
        <v>2186</v>
      </c>
      <c r="C200" s="186" t="s">
        <v>108</v>
      </c>
      <c r="D200" s="245" t="s">
        <v>2001</v>
      </c>
      <c r="E200" s="119">
        <f>+$E$3</f>
        <v>1.0740000000000001</v>
      </c>
      <c r="F200" s="75">
        <f t="shared" si="30"/>
        <v>1.0209999999999999</v>
      </c>
      <c r="G200" s="252">
        <f>+$G$3</f>
        <v>1.0269999999999999</v>
      </c>
      <c r="H200" s="119">
        <f>+$H$3</f>
        <v>1.0029999999999999</v>
      </c>
      <c r="I200" s="234">
        <f>+$I$3</f>
        <v>1.0289999999999999</v>
      </c>
      <c r="J200" s="234">
        <f>+$J$3</f>
        <v>1.0049999999999999</v>
      </c>
      <c r="K200" s="234">
        <f>+$K$3</f>
        <v>1.026</v>
      </c>
      <c r="L200" s="234">
        <f>+$L$3</f>
        <v>1.0129999999999999</v>
      </c>
      <c r="M200" s="234">
        <f>+$M$3</f>
        <v>1.0029999999999999</v>
      </c>
      <c r="N200" s="252">
        <f>+$N$3</f>
        <v>1.0029999999999999</v>
      </c>
      <c r="O200" s="80">
        <f>+$O$3</f>
        <v>1.0209999999999999</v>
      </c>
      <c r="P200" s="119">
        <f t="shared" si="55"/>
        <v>1.032</v>
      </c>
      <c r="Q200" s="252">
        <f t="shared" si="56"/>
        <v>1.0349999999999999</v>
      </c>
      <c r="R200" s="81">
        <f t="shared" si="31"/>
        <v>1.3319480854780448</v>
      </c>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c r="HI200" s="68"/>
      <c r="HJ200" s="68"/>
      <c r="HK200" s="68"/>
      <c r="HL200" s="68"/>
      <c r="HM200" s="68"/>
      <c r="HN200" s="68"/>
      <c r="HO200" s="68"/>
      <c r="HP200" s="68"/>
      <c r="HQ200" s="68"/>
      <c r="HR200" s="68"/>
      <c r="HS200" s="68"/>
      <c r="HT200" s="68"/>
      <c r="HU200" s="68"/>
      <c r="HV200" s="68"/>
      <c r="HW200" s="68"/>
      <c r="HX200" s="68"/>
      <c r="HY200" s="68"/>
      <c r="HZ200" s="68"/>
      <c r="IA200" s="68"/>
      <c r="IB200" s="68"/>
      <c r="IC200" s="68"/>
      <c r="ID200" s="68"/>
      <c r="IE200" s="68"/>
      <c r="IF200" s="68"/>
      <c r="IG200" s="68"/>
      <c r="IH200" s="68"/>
      <c r="II200" s="68"/>
      <c r="IJ200" s="68"/>
      <c r="IK200" s="68"/>
      <c r="IL200" s="68"/>
      <c r="IM200" s="68"/>
    </row>
    <row r="201" spans="1:247" x14ac:dyDescent="0.35">
      <c r="A201" s="244">
        <v>7512</v>
      </c>
      <c r="B201" s="233" t="s">
        <v>2187</v>
      </c>
      <c r="C201" s="186" t="s">
        <v>40</v>
      </c>
      <c r="D201" s="245" t="s">
        <v>1993</v>
      </c>
      <c r="E201" s="119"/>
      <c r="F201" s="75">
        <f t="shared" si="30"/>
        <v>1.0209999999999999</v>
      </c>
      <c r="G201" s="252">
        <f>+$G$3</f>
        <v>1.0269999999999999</v>
      </c>
      <c r="H201" s="119"/>
      <c r="I201" s="234"/>
      <c r="J201" s="234"/>
      <c r="K201" s="234"/>
      <c r="L201" s="234">
        <f>+$L$3</f>
        <v>1.0129999999999999</v>
      </c>
      <c r="M201" s="234"/>
      <c r="N201" s="252">
        <f>+$N$3</f>
        <v>1.0029999999999999</v>
      </c>
      <c r="O201" s="80"/>
      <c r="P201" s="119">
        <f t="shared" si="55"/>
        <v>1.032</v>
      </c>
      <c r="Q201" s="252">
        <f t="shared" si="56"/>
        <v>1.0349999999999999</v>
      </c>
      <c r="R201" s="81">
        <f t="shared" si="31"/>
        <v>1.1379589900046172</v>
      </c>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c r="HI201" s="68"/>
      <c r="HJ201" s="68"/>
      <c r="HK201" s="68"/>
      <c r="HL201" s="68"/>
      <c r="HM201" s="68"/>
      <c r="HN201" s="68"/>
      <c r="HO201" s="68"/>
      <c r="HP201" s="68"/>
      <c r="HQ201" s="68"/>
      <c r="HR201" s="68"/>
      <c r="HS201" s="68"/>
      <c r="HT201" s="68"/>
      <c r="HU201" s="68"/>
      <c r="HV201" s="68"/>
      <c r="HW201" s="68"/>
      <c r="HX201" s="68"/>
      <c r="HY201" s="68"/>
      <c r="HZ201" s="68"/>
      <c r="IA201" s="68"/>
      <c r="IB201" s="68"/>
      <c r="IC201" s="68"/>
      <c r="ID201" s="68"/>
      <c r="IE201" s="68"/>
      <c r="IF201" s="68"/>
      <c r="IG201" s="68"/>
      <c r="IH201" s="68"/>
      <c r="II201" s="68"/>
      <c r="IJ201" s="68"/>
      <c r="IK201" s="68"/>
      <c r="IL201" s="68"/>
      <c r="IM201" s="68"/>
    </row>
    <row r="202" spans="1:247" x14ac:dyDescent="0.35">
      <c r="A202" s="244">
        <v>7513</v>
      </c>
      <c r="B202" s="233" t="s">
        <v>2188</v>
      </c>
      <c r="C202" s="186" t="s">
        <v>40</v>
      </c>
      <c r="D202" s="245" t="s">
        <v>1993</v>
      </c>
      <c r="E202" s="119"/>
      <c r="F202" s="75">
        <f t="shared" si="30"/>
        <v>1.0209999999999999</v>
      </c>
      <c r="G202" s="252">
        <f>+$G$3</f>
        <v>1.0269999999999999</v>
      </c>
      <c r="H202" s="119"/>
      <c r="I202" s="234"/>
      <c r="J202" s="234"/>
      <c r="K202" s="234"/>
      <c r="L202" s="234"/>
      <c r="M202" s="234"/>
      <c r="N202" s="252"/>
      <c r="O202" s="80"/>
      <c r="P202" s="119">
        <f t="shared" si="55"/>
        <v>1.032</v>
      </c>
      <c r="Q202" s="252">
        <f t="shared" si="56"/>
        <v>1.0349999999999999</v>
      </c>
      <c r="R202" s="81">
        <f t="shared" si="31"/>
        <v>1.1199953840399997</v>
      </c>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c r="HI202" s="68"/>
      <c r="HJ202" s="68"/>
      <c r="HK202" s="68"/>
      <c r="HL202" s="68"/>
      <c r="HM202" s="68"/>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row>
    <row r="203" spans="1:247" x14ac:dyDescent="0.35">
      <c r="A203" s="244">
        <v>7514</v>
      </c>
      <c r="B203" s="233" t="s">
        <v>2189</v>
      </c>
      <c r="C203" s="186" t="s">
        <v>40</v>
      </c>
      <c r="D203" s="245" t="s">
        <v>1993</v>
      </c>
      <c r="E203" s="119"/>
      <c r="F203" s="75">
        <f t="shared" si="30"/>
        <v>1.0209999999999999</v>
      </c>
      <c r="G203" s="252">
        <f>+$G$3</f>
        <v>1.0269999999999999</v>
      </c>
      <c r="H203" s="119"/>
      <c r="I203" s="234"/>
      <c r="J203" s="234"/>
      <c r="K203" s="234"/>
      <c r="L203" s="234"/>
      <c r="M203" s="234"/>
      <c r="N203" s="252"/>
      <c r="O203" s="80"/>
      <c r="P203" s="119">
        <f t="shared" si="55"/>
        <v>1.032</v>
      </c>
      <c r="Q203" s="252">
        <f t="shared" si="56"/>
        <v>1.0349999999999999</v>
      </c>
      <c r="R203" s="81">
        <f t="shared" si="31"/>
        <v>1.1199953840399997</v>
      </c>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c r="GM203" s="68"/>
      <c r="GN203" s="68"/>
      <c r="GO203" s="68"/>
      <c r="GP203" s="68"/>
      <c r="GQ203" s="68"/>
      <c r="GR203" s="68"/>
      <c r="GS203" s="68"/>
      <c r="GT203" s="68"/>
      <c r="GU203" s="68"/>
      <c r="GV203" s="68"/>
      <c r="GW203" s="68"/>
      <c r="GX203" s="68"/>
      <c r="GY203" s="68"/>
      <c r="GZ203" s="68"/>
      <c r="HA203" s="68"/>
      <c r="HB203" s="68"/>
      <c r="HC203" s="68"/>
      <c r="HD203" s="68"/>
      <c r="HE203" s="68"/>
      <c r="HF203" s="68"/>
      <c r="HG203" s="68"/>
      <c r="HH203" s="68"/>
      <c r="HI203" s="68"/>
      <c r="HJ203" s="68"/>
      <c r="HK203" s="68"/>
      <c r="HL203" s="68"/>
      <c r="HM203" s="68"/>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row>
    <row r="204" spans="1:247" x14ac:dyDescent="0.35">
      <c r="A204" s="244">
        <v>7515</v>
      </c>
      <c r="B204" s="233" t="s">
        <v>2190</v>
      </c>
      <c r="C204" s="186" t="s">
        <v>40</v>
      </c>
      <c r="D204" s="245" t="s">
        <v>1993</v>
      </c>
      <c r="E204" s="119"/>
      <c r="F204" s="75">
        <f t="shared" si="30"/>
        <v>1.0209999999999999</v>
      </c>
      <c r="G204" s="252"/>
      <c r="H204" s="119"/>
      <c r="I204" s="234"/>
      <c r="J204" s="234"/>
      <c r="K204" s="234"/>
      <c r="L204" s="234"/>
      <c r="M204" s="234"/>
      <c r="N204" s="252"/>
      <c r="O204" s="80"/>
      <c r="P204" s="119">
        <f t="shared" si="55"/>
        <v>1.032</v>
      </c>
      <c r="Q204" s="252">
        <f t="shared" si="56"/>
        <v>1.0349999999999999</v>
      </c>
      <c r="R204" s="81">
        <f t="shared" si="31"/>
        <v>1.0905505199999999</v>
      </c>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c r="HI204" s="68"/>
      <c r="HJ204" s="68"/>
      <c r="HK204" s="68"/>
      <c r="HL204" s="68"/>
      <c r="HM204" s="68"/>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row>
    <row r="205" spans="1:247" x14ac:dyDescent="0.35">
      <c r="A205" s="244">
        <v>7516</v>
      </c>
      <c r="B205" s="233" t="s">
        <v>2191</v>
      </c>
      <c r="C205" s="186" t="s">
        <v>40</v>
      </c>
      <c r="D205" s="245" t="s">
        <v>1993</v>
      </c>
      <c r="E205" s="119"/>
      <c r="F205" s="75">
        <f t="shared" si="30"/>
        <v>1.0209999999999999</v>
      </c>
      <c r="G205" s="252"/>
      <c r="H205" s="119"/>
      <c r="I205" s="234"/>
      <c r="J205" s="234"/>
      <c r="K205" s="234"/>
      <c r="L205" s="234"/>
      <c r="M205" s="234"/>
      <c r="N205" s="252"/>
      <c r="O205" s="80"/>
      <c r="P205" s="119"/>
      <c r="Q205" s="252"/>
      <c r="R205" s="81">
        <f t="shared" si="31"/>
        <v>1.0209999999999999</v>
      </c>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c r="HI205" s="68"/>
      <c r="HJ205" s="68"/>
      <c r="HK205" s="68"/>
      <c r="HL205" s="68"/>
      <c r="HM205" s="68"/>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row>
    <row r="206" spans="1:247" x14ac:dyDescent="0.35">
      <c r="A206" s="244">
        <v>7517</v>
      </c>
      <c r="B206" s="233" t="s">
        <v>2192</v>
      </c>
      <c r="C206" s="186" t="s">
        <v>40</v>
      </c>
      <c r="D206" s="245" t="s">
        <v>1993</v>
      </c>
      <c r="E206" s="119"/>
      <c r="F206" s="75">
        <f t="shared" si="30"/>
        <v>1.0209999999999999</v>
      </c>
      <c r="G206" s="252"/>
      <c r="H206" s="119"/>
      <c r="I206" s="234"/>
      <c r="J206" s="234"/>
      <c r="K206" s="234"/>
      <c r="L206" s="234"/>
      <c r="M206" s="234"/>
      <c r="N206" s="252"/>
      <c r="O206" s="80"/>
      <c r="P206" s="119"/>
      <c r="Q206" s="252"/>
      <c r="R206" s="81">
        <f t="shared" si="31"/>
        <v>1.0209999999999999</v>
      </c>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c r="GM206" s="68"/>
      <c r="GN206" s="68"/>
      <c r="GO206" s="68"/>
      <c r="GP206" s="68"/>
      <c r="GQ206" s="68"/>
      <c r="GR206" s="68"/>
      <c r="GS206" s="68"/>
      <c r="GT206" s="68"/>
      <c r="GU206" s="68"/>
      <c r="GV206" s="68"/>
      <c r="GW206" s="68"/>
      <c r="GX206" s="68"/>
      <c r="GY206" s="68"/>
      <c r="GZ206" s="68"/>
      <c r="HA206" s="68"/>
      <c r="HB206" s="68"/>
      <c r="HC206" s="68"/>
      <c r="HD206" s="68"/>
      <c r="HE206" s="68"/>
      <c r="HF206" s="68"/>
      <c r="HG206" s="68"/>
      <c r="HH206" s="68"/>
      <c r="HI206" s="68"/>
      <c r="HJ206" s="68"/>
      <c r="HK206" s="68"/>
      <c r="HL206" s="68"/>
      <c r="HM206" s="68"/>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row>
    <row r="207" spans="1:247" x14ac:dyDescent="0.35">
      <c r="A207" s="244">
        <v>7518</v>
      </c>
      <c r="B207" s="233" t="s">
        <v>2193</v>
      </c>
      <c r="C207" s="186" t="s">
        <v>40</v>
      </c>
      <c r="D207" s="245" t="s">
        <v>1993</v>
      </c>
      <c r="E207" s="119"/>
      <c r="F207" s="75">
        <f t="shared" si="30"/>
        <v>1.0209999999999999</v>
      </c>
      <c r="G207" s="252">
        <f>+$G$3</f>
        <v>1.0269999999999999</v>
      </c>
      <c r="H207" s="119"/>
      <c r="I207" s="234"/>
      <c r="J207" s="234"/>
      <c r="K207" s="234"/>
      <c r="L207" s="234"/>
      <c r="M207" s="234"/>
      <c r="N207" s="252"/>
      <c r="O207" s="80"/>
      <c r="P207" s="119">
        <f>+$P$3</f>
        <v>1.032</v>
      </c>
      <c r="Q207" s="252">
        <f>+$Q$3</f>
        <v>1.0349999999999999</v>
      </c>
      <c r="R207" s="81">
        <f t="shared" si="31"/>
        <v>1.1199953840399997</v>
      </c>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c r="HI207" s="68"/>
      <c r="HJ207" s="68"/>
      <c r="HK207" s="68"/>
      <c r="HL207" s="68"/>
      <c r="HM207" s="68"/>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row>
    <row r="208" spans="1:247" x14ac:dyDescent="0.35">
      <c r="A208" s="244">
        <v>7521</v>
      </c>
      <c r="B208" s="233" t="s">
        <v>2194</v>
      </c>
      <c r="C208" s="186" t="s">
        <v>40</v>
      </c>
      <c r="D208" s="245" t="s">
        <v>1993</v>
      </c>
      <c r="E208" s="119"/>
      <c r="F208" s="75">
        <f t="shared" si="30"/>
        <v>1.0209999999999999</v>
      </c>
      <c r="G208" s="252"/>
      <c r="H208" s="119"/>
      <c r="I208" s="234"/>
      <c r="J208" s="234"/>
      <c r="K208" s="234"/>
      <c r="L208" s="234"/>
      <c r="M208" s="234"/>
      <c r="N208" s="252"/>
      <c r="O208" s="80"/>
      <c r="P208" s="119"/>
      <c r="Q208" s="252"/>
      <c r="R208" s="81">
        <f t="shared" si="31"/>
        <v>1.0209999999999999</v>
      </c>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c r="GM208" s="68"/>
      <c r="GN208" s="68"/>
      <c r="GO208" s="68"/>
      <c r="GP208" s="68"/>
      <c r="GQ208" s="68"/>
      <c r="GR208" s="68"/>
      <c r="GS208" s="68"/>
      <c r="GT208" s="68"/>
      <c r="GU208" s="68"/>
      <c r="GV208" s="68"/>
      <c r="GW208" s="68"/>
      <c r="GX208" s="68"/>
      <c r="GY208" s="68"/>
      <c r="GZ208" s="68"/>
      <c r="HA208" s="68"/>
      <c r="HB208" s="68"/>
      <c r="HC208" s="68"/>
      <c r="HD208" s="68"/>
      <c r="HE208" s="68"/>
      <c r="HF208" s="68"/>
      <c r="HG208" s="68"/>
      <c r="HH208" s="68"/>
      <c r="HI208" s="68"/>
      <c r="HJ208" s="68"/>
      <c r="HK208" s="68"/>
      <c r="HL208" s="68"/>
      <c r="HM208" s="68"/>
      <c r="HN208" s="68"/>
      <c r="HO208" s="68"/>
      <c r="HP208" s="68"/>
      <c r="HQ208" s="68"/>
      <c r="HR208" s="68"/>
      <c r="HS208" s="68"/>
      <c r="HT208" s="68"/>
      <c r="HU208" s="68"/>
      <c r="HV208" s="68"/>
      <c r="HW208" s="68"/>
      <c r="HX208" s="68"/>
      <c r="HY208" s="68"/>
      <c r="HZ208" s="68"/>
      <c r="IA208" s="68"/>
      <c r="IB208" s="68"/>
      <c r="IC208" s="68"/>
      <c r="ID208" s="68"/>
      <c r="IE208" s="68"/>
      <c r="IF208" s="68"/>
      <c r="IG208" s="68"/>
      <c r="IH208" s="68"/>
      <c r="II208" s="68"/>
      <c r="IJ208" s="68"/>
      <c r="IK208" s="68"/>
      <c r="IL208" s="68"/>
      <c r="IM208" s="68"/>
    </row>
    <row r="209" spans="1:247" x14ac:dyDescent="0.35">
      <c r="A209" s="244">
        <v>7523</v>
      </c>
      <c r="B209" s="233" t="s">
        <v>2195</v>
      </c>
      <c r="C209" s="186" t="s">
        <v>40</v>
      </c>
      <c r="D209" s="245" t="s">
        <v>1993</v>
      </c>
      <c r="E209" s="119"/>
      <c r="F209" s="75">
        <f t="shared" ref="F209:F283" si="57">+$F$3</f>
        <v>1.0209999999999999</v>
      </c>
      <c r="G209" s="252">
        <f>+$G$3</f>
        <v>1.0269999999999999</v>
      </c>
      <c r="H209" s="119"/>
      <c r="I209" s="234"/>
      <c r="J209" s="234"/>
      <c r="K209" s="234"/>
      <c r="L209" s="234"/>
      <c r="M209" s="234"/>
      <c r="N209" s="252"/>
      <c r="O209" s="80"/>
      <c r="P209" s="119"/>
      <c r="Q209" s="252"/>
      <c r="R209" s="81">
        <f t="shared" ref="R209:R283" si="58">PRODUCT(E209:Q209)</f>
        <v>1.0485669999999998</v>
      </c>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c r="HI209" s="68"/>
      <c r="HJ209" s="68"/>
      <c r="HK209" s="68"/>
      <c r="HL209" s="68"/>
      <c r="HM209" s="68"/>
      <c r="HN209" s="68"/>
      <c r="HO209" s="68"/>
      <c r="HP209" s="68"/>
      <c r="HQ209" s="68"/>
      <c r="HR209" s="68"/>
      <c r="HS209" s="68"/>
      <c r="HT209" s="68"/>
      <c r="HU209" s="68"/>
      <c r="HV209" s="68"/>
      <c r="HW209" s="68"/>
      <c r="HX209" s="68"/>
      <c r="HY209" s="68"/>
      <c r="HZ209" s="68"/>
      <c r="IA209" s="68"/>
      <c r="IB209" s="68"/>
      <c r="IC209" s="68"/>
      <c r="ID209" s="68"/>
      <c r="IE209" s="68"/>
      <c r="IF209" s="68"/>
      <c r="IG209" s="68"/>
      <c r="IH209" s="68"/>
      <c r="II209" s="68"/>
      <c r="IJ209" s="68"/>
      <c r="IK209" s="68"/>
      <c r="IL209" s="68"/>
      <c r="IM209" s="68"/>
    </row>
    <row r="210" spans="1:247" x14ac:dyDescent="0.35">
      <c r="A210" s="244">
        <v>7524</v>
      </c>
      <c r="B210" s="233" t="s">
        <v>2196</v>
      </c>
      <c r="C210" s="186" t="s">
        <v>40</v>
      </c>
      <c r="D210" s="245" t="s">
        <v>1993</v>
      </c>
      <c r="E210" s="119"/>
      <c r="F210" s="75">
        <f t="shared" si="57"/>
        <v>1.0209999999999999</v>
      </c>
      <c r="G210" s="252">
        <f>+$G$3</f>
        <v>1.0269999999999999</v>
      </c>
      <c r="H210" s="119"/>
      <c r="I210" s="234"/>
      <c r="J210" s="234"/>
      <c r="K210" s="234"/>
      <c r="L210" s="234"/>
      <c r="M210" s="234"/>
      <c r="N210" s="252"/>
      <c r="O210" s="80"/>
      <c r="P210" s="119">
        <f>+$P$3</f>
        <v>1.032</v>
      </c>
      <c r="Q210" s="252">
        <f>+$Q$3</f>
        <v>1.0349999999999999</v>
      </c>
      <c r="R210" s="81">
        <f t="shared" si="58"/>
        <v>1.1199953840399997</v>
      </c>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c r="GM210" s="68"/>
      <c r="GN210" s="68"/>
      <c r="GO210" s="68"/>
      <c r="GP210" s="68"/>
      <c r="GQ210" s="68"/>
      <c r="GR210" s="68"/>
      <c r="GS210" s="68"/>
      <c r="GT210" s="68"/>
      <c r="GU210" s="68"/>
      <c r="GV210" s="68"/>
      <c r="GW210" s="68"/>
      <c r="GX210" s="68"/>
      <c r="GY210" s="68"/>
      <c r="GZ210" s="68"/>
      <c r="HA210" s="68"/>
      <c r="HB210" s="68"/>
      <c r="HC210" s="68"/>
      <c r="HD210" s="68"/>
      <c r="HE210" s="68"/>
      <c r="HF210" s="68"/>
      <c r="HG210" s="68"/>
      <c r="HH210" s="68"/>
      <c r="HI210" s="68"/>
      <c r="HJ210" s="68"/>
      <c r="HK210" s="68"/>
      <c r="HL210" s="68"/>
      <c r="HM210" s="68"/>
      <c r="HN210" s="68"/>
      <c r="HO210" s="68"/>
      <c r="HP210" s="68"/>
      <c r="HQ210" s="68"/>
      <c r="HR210" s="68"/>
      <c r="HS210" s="68"/>
      <c r="HT210" s="68"/>
      <c r="HU210" s="68"/>
      <c r="HV210" s="68"/>
      <c r="HW210" s="68"/>
      <c r="HX210" s="68"/>
      <c r="HY210" s="68"/>
      <c r="HZ210" s="68"/>
      <c r="IA210" s="68"/>
      <c r="IB210" s="68"/>
      <c r="IC210" s="68"/>
      <c r="ID210" s="68"/>
      <c r="IE210" s="68"/>
      <c r="IF210" s="68"/>
      <c r="IG210" s="68"/>
      <c r="IH210" s="68"/>
      <c r="II210" s="68"/>
      <c r="IJ210" s="68"/>
      <c r="IK210" s="68"/>
      <c r="IL210" s="68"/>
      <c r="IM210" s="68"/>
    </row>
    <row r="211" spans="1:247" x14ac:dyDescent="0.35">
      <c r="A211" s="244">
        <v>7531</v>
      </c>
      <c r="B211" s="233" t="s">
        <v>2197</v>
      </c>
      <c r="C211" s="186" t="s">
        <v>108</v>
      </c>
      <c r="D211" s="245" t="s">
        <v>1993</v>
      </c>
      <c r="E211" s="119"/>
      <c r="F211" s="75">
        <f t="shared" si="57"/>
        <v>1.0209999999999999</v>
      </c>
      <c r="G211" s="252"/>
      <c r="H211" s="119"/>
      <c r="I211" s="234"/>
      <c r="J211" s="234"/>
      <c r="K211" s="234"/>
      <c r="L211" s="234"/>
      <c r="M211" s="234"/>
      <c r="N211" s="252"/>
      <c r="O211" s="80"/>
      <c r="P211" s="119"/>
      <c r="Q211" s="252"/>
      <c r="R211" s="81">
        <f t="shared" si="58"/>
        <v>1.0209999999999999</v>
      </c>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row>
    <row r="212" spans="1:247" x14ac:dyDescent="0.35">
      <c r="A212" s="244">
        <v>7532</v>
      </c>
      <c r="B212" s="233" t="s">
        <v>2198</v>
      </c>
      <c r="C212" s="186" t="s">
        <v>40</v>
      </c>
      <c r="D212" s="245" t="s">
        <v>1993</v>
      </c>
      <c r="E212" s="119"/>
      <c r="F212" s="75">
        <f t="shared" si="57"/>
        <v>1.0209999999999999</v>
      </c>
      <c r="G212" s="252">
        <f t="shared" ref="G212:G217" si="59">+$G$3</f>
        <v>1.0269999999999999</v>
      </c>
      <c r="H212" s="119"/>
      <c r="I212" s="234"/>
      <c r="J212" s="234"/>
      <c r="K212" s="234"/>
      <c r="L212" s="234"/>
      <c r="M212" s="234"/>
      <c r="N212" s="252"/>
      <c r="O212" s="80"/>
      <c r="P212" s="119"/>
      <c r="Q212" s="252"/>
      <c r="R212" s="81">
        <f t="shared" si="58"/>
        <v>1.0485669999999998</v>
      </c>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row>
    <row r="213" spans="1:247" x14ac:dyDescent="0.35">
      <c r="A213" s="244">
        <v>7541</v>
      </c>
      <c r="B213" s="233" t="s">
        <v>2199</v>
      </c>
      <c r="C213" s="186" t="s">
        <v>40</v>
      </c>
      <c r="D213" s="245" t="s">
        <v>1993</v>
      </c>
      <c r="E213" s="119"/>
      <c r="F213" s="75">
        <f t="shared" si="57"/>
        <v>1.0209999999999999</v>
      </c>
      <c r="G213" s="252">
        <f t="shared" si="59"/>
        <v>1.0269999999999999</v>
      </c>
      <c r="H213" s="119"/>
      <c r="I213" s="234"/>
      <c r="J213" s="234"/>
      <c r="K213" s="234"/>
      <c r="L213" s="234"/>
      <c r="M213" s="234"/>
      <c r="N213" s="252"/>
      <c r="O213" s="80"/>
      <c r="P213" s="119"/>
      <c r="Q213" s="252"/>
      <c r="R213" s="81">
        <f t="shared" si="58"/>
        <v>1.0485669999999998</v>
      </c>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row>
    <row r="214" spans="1:247" x14ac:dyDescent="0.35">
      <c r="A214" s="244">
        <v>7542</v>
      </c>
      <c r="B214" s="233" t="s">
        <v>2200</v>
      </c>
      <c r="C214" s="186" t="s">
        <v>40</v>
      </c>
      <c r="D214" s="245" t="s">
        <v>1993</v>
      </c>
      <c r="E214" s="119"/>
      <c r="F214" s="75">
        <f t="shared" si="57"/>
        <v>1.0209999999999999</v>
      </c>
      <c r="G214" s="252">
        <f t="shared" si="59"/>
        <v>1.0269999999999999</v>
      </c>
      <c r="H214" s="119"/>
      <c r="I214" s="234"/>
      <c r="J214" s="234"/>
      <c r="K214" s="234"/>
      <c r="L214" s="234"/>
      <c r="M214" s="234"/>
      <c r="N214" s="252"/>
      <c r="O214" s="80"/>
      <c r="P214" s="119"/>
      <c r="Q214" s="252"/>
      <c r="R214" s="81">
        <f>PRODUCT(E214:Q214)</f>
        <v>1.0485669999999998</v>
      </c>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row>
    <row r="215" spans="1:247" x14ac:dyDescent="0.35">
      <c r="A215" s="244">
        <v>7601</v>
      </c>
      <c r="B215" s="233" t="s">
        <v>2201</v>
      </c>
      <c r="C215" s="186" t="s">
        <v>108</v>
      </c>
      <c r="D215" s="245" t="s">
        <v>2001</v>
      </c>
      <c r="E215" s="119">
        <f>+$E$3</f>
        <v>1.0740000000000001</v>
      </c>
      <c r="F215" s="75">
        <f t="shared" si="57"/>
        <v>1.0209999999999999</v>
      </c>
      <c r="G215" s="252">
        <f t="shared" si="59"/>
        <v>1.0269999999999999</v>
      </c>
      <c r="H215" s="119">
        <f>+$H$3</f>
        <v>1.0029999999999999</v>
      </c>
      <c r="I215" s="234">
        <f>+$I$3</f>
        <v>1.0289999999999999</v>
      </c>
      <c r="J215" s="234">
        <f>+$J$3</f>
        <v>1.0049999999999999</v>
      </c>
      <c r="K215" s="234">
        <f>+$K$3</f>
        <v>1.026</v>
      </c>
      <c r="L215" s="234">
        <f>+$L$3</f>
        <v>1.0129999999999999</v>
      </c>
      <c r="M215" s="234">
        <f>+$M$3</f>
        <v>1.0029999999999999</v>
      </c>
      <c r="N215" s="252">
        <f>+$N$3</f>
        <v>1.0029999999999999</v>
      </c>
      <c r="O215" s="80">
        <f>+$O$3</f>
        <v>1.0209999999999999</v>
      </c>
      <c r="P215" s="119">
        <f t="shared" ref="P215:P237" si="60">+$P$3</f>
        <v>1.032</v>
      </c>
      <c r="Q215" s="252">
        <f t="shared" ref="Q215:Q237" si="61">+$Q$3</f>
        <v>1.0349999999999999</v>
      </c>
      <c r="R215" s="81">
        <f t="shared" si="58"/>
        <v>1.3319480854780448</v>
      </c>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row>
    <row r="216" spans="1:247" x14ac:dyDescent="0.35">
      <c r="A216" s="244">
        <v>7602</v>
      </c>
      <c r="B216" s="284" t="s">
        <v>2430</v>
      </c>
      <c r="C216" s="271" t="s">
        <v>40</v>
      </c>
      <c r="D216" s="245" t="s">
        <v>1993</v>
      </c>
      <c r="E216" s="323"/>
      <c r="F216" s="75">
        <f t="shared" si="57"/>
        <v>1.0209999999999999</v>
      </c>
      <c r="G216" s="252">
        <f t="shared" si="59"/>
        <v>1.0269999999999999</v>
      </c>
      <c r="H216" s="323"/>
      <c r="I216" s="324"/>
      <c r="J216" s="324"/>
      <c r="K216" s="324"/>
      <c r="L216" s="324"/>
      <c r="M216" s="324"/>
      <c r="N216" s="252"/>
      <c r="O216" s="80"/>
      <c r="P216" s="119">
        <f t="shared" si="60"/>
        <v>1.032</v>
      </c>
      <c r="Q216" s="252">
        <f t="shared" si="61"/>
        <v>1.0349999999999999</v>
      </c>
      <c r="R216" s="81">
        <f t="shared" si="58"/>
        <v>1.1199953840399997</v>
      </c>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row>
    <row r="217" spans="1:247" x14ac:dyDescent="0.35">
      <c r="A217" s="244">
        <v>7604</v>
      </c>
      <c r="B217" s="233" t="s">
        <v>2202</v>
      </c>
      <c r="C217" s="186" t="s">
        <v>349</v>
      </c>
      <c r="D217" s="245" t="s">
        <v>1993</v>
      </c>
      <c r="E217" s="119"/>
      <c r="F217" s="75">
        <f t="shared" si="57"/>
        <v>1.0209999999999999</v>
      </c>
      <c r="G217" s="252">
        <f t="shared" si="59"/>
        <v>1.0269999999999999</v>
      </c>
      <c r="H217" s="119"/>
      <c r="I217" s="234"/>
      <c r="J217" s="234"/>
      <c r="K217" s="234"/>
      <c r="L217" s="234"/>
      <c r="M217" s="234"/>
      <c r="N217" s="252"/>
      <c r="O217" s="80"/>
      <c r="P217" s="119">
        <f t="shared" si="60"/>
        <v>1.032</v>
      </c>
      <c r="Q217" s="252">
        <f t="shared" si="61"/>
        <v>1.0349999999999999</v>
      </c>
      <c r="R217" s="81">
        <f t="shared" si="58"/>
        <v>1.1199953840399997</v>
      </c>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row>
    <row r="218" spans="1:247" x14ac:dyDescent="0.35">
      <c r="A218" s="244">
        <v>8111</v>
      </c>
      <c r="B218" s="233" t="s">
        <v>2203</v>
      </c>
      <c r="C218" s="186" t="s">
        <v>1603</v>
      </c>
      <c r="D218" s="245" t="s">
        <v>1993</v>
      </c>
      <c r="E218" s="119"/>
      <c r="F218" s="75">
        <f t="shared" si="57"/>
        <v>1.0209999999999999</v>
      </c>
      <c r="G218" s="252"/>
      <c r="H218" s="119"/>
      <c r="I218" s="234"/>
      <c r="J218" s="234"/>
      <c r="K218" s="234"/>
      <c r="L218" s="234"/>
      <c r="M218" s="234"/>
      <c r="N218" s="252"/>
      <c r="O218" s="80"/>
      <c r="P218" s="119">
        <f t="shared" si="60"/>
        <v>1.032</v>
      </c>
      <c r="Q218" s="252">
        <f t="shared" si="61"/>
        <v>1.0349999999999999</v>
      </c>
      <c r="R218" s="81">
        <f t="shared" si="58"/>
        <v>1.0905505199999999</v>
      </c>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row>
    <row r="219" spans="1:247" x14ac:dyDescent="0.35">
      <c r="A219" s="244">
        <v>8113</v>
      </c>
      <c r="B219" s="233" t="s">
        <v>2204</v>
      </c>
      <c r="C219" s="186" t="s">
        <v>1614</v>
      </c>
      <c r="D219" s="245" t="s">
        <v>1993</v>
      </c>
      <c r="E219" s="119"/>
      <c r="F219" s="75">
        <f t="shared" si="57"/>
        <v>1.0209999999999999</v>
      </c>
      <c r="G219" s="252">
        <f>+$G$3</f>
        <v>1.0269999999999999</v>
      </c>
      <c r="H219" s="119"/>
      <c r="I219" s="234"/>
      <c r="J219" s="234"/>
      <c r="K219" s="234"/>
      <c r="L219" s="234"/>
      <c r="M219" s="234"/>
      <c r="N219" s="252"/>
      <c r="O219" s="80"/>
      <c r="P219" s="119">
        <f t="shared" si="60"/>
        <v>1.032</v>
      </c>
      <c r="Q219" s="252">
        <f t="shared" si="61"/>
        <v>1.0349999999999999</v>
      </c>
      <c r="R219" s="81">
        <f t="shared" si="58"/>
        <v>1.1199953840399997</v>
      </c>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row>
    <row r="220" spans="1:247" x14ac:dyDescent="0.35">
      <c r="A220" s="244">
        <v>8114</v>
      </c>
      <c r="B220" s="233" t="s">
        <v>2205</v>
      </c>
      <c r="C220" s="186" t="s">
        <v>1603</v>
      </c>
      <c r="D220" s="245" t="s">
        <v>1993</v>
      </c>
      <c r="E220" s="119"/>
      <c r="F220" s="75">
        <f t="shared" si="57"/>
        <v>1.0209999999999999</v>
      </c>
      <c r="G220" s="252">
        <f>+$G$3</f>
        <v>1.0269999999999999</v>
      </c>
      <c r="H220" s="119"/>
      <c r="I220" s="234"/>
      <c r="J220" s="234"/>
      <c r="K220" s="234"/>
      <c r="L220" s="234"/>
      <c r="M220" s="234"/>
      <c r="N220" s="252"/>
      <c r="O220" s="80"/>
      <c r="P220" s="119">
        <f t="shared" si="60"/>
        <v>1.032</v>
      </c>
      <c r="Q220" s="252">
        <f t="shared" si="61"/>
        <v>1.0349999999999999</v>
      </c>
      <c r="R220" s="81">
        <f t="shared" si="58"/>
        <v>1.1199953840399997</v>
      </c>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row>
    <row r="221" spans="1:247" x14ac:dyDescent="0.35">
      <c r="A221" s="244">
        <v>8115</v>
      </c>
      <c r="B221" s="233" t="s">
        <v>2206</v>
      </c>
      <c r="C221" s="186" t="s">
        <v>1603</v>
      </c>
      <c r="D221" s="245" t="s">
        <v>1993</v>
      </c>
      <c r="E221" s="119"/>
      <c r="F221" s="75">
        <f t="shared" si="57"/>
        <v>1.0209999999999999</v>
      </c>
      <c r="G221" s="252">
        <f>+$G$3</f>
        <v>1.0269999999999999</v>
      </c>
      <c r="H221" s="119"/>
      <c r="I221" s="234"/>
      <c r="J221" s="234"/>
      <c r="K221" s="234"/>
      <c r="L221" s="234"/>
      <c r="M221" s="234"/>
      <c r="N221" s="252"/>
      <c r="O221" s="80"/>
      <c r="P221" s="119">
        <f t="shared" si="60"/>
        <v>1.032</v>
      </c>
      <c r="Q221" s="252">
        <f t="shared" si="61"/>
        <v>1.0349999999999999</v>
      </c>
      <c r="R221" s="81">
        <f>PRODUCT(E221:Q221)</f>
        <v>1.1199953840399997</v>
      </c>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row>
    <row r="222" spans="1:247" x14ac:dyDescent="0.35">
      <c r="A222" s="244">
        <v>8116</v>
      </c>
      <c r="B222" s="284" t="s">
        <v>2865</v>
      </c>
      <c r="C222" s="271" t="s">
        <v>1614</v>
      </c>
      <c r="D222" s="245" t="s">
        <v>1993</v>
      </c>
      <c r="E222" s="323">
        <v>1.0740000000000001</v>
      </c>
      <c r="F222" s="75">
        <f t="shared" si="57"/>
        <v>1.0209999999999999</v>
      </c>
      <c r="G222" s="252">
        <f>+$G$3</f>
        <v>1.0269999999999999</v>
      </c>
      <c r="H222" s="323"/>
      <c r="I222" s="324"/>
      <c r="J222" s="324"/>
      <c r="K222" s="324"/>
      <c r="L222" s="324"/>
      <c r="M222" s="324"/>
      <c r="N222" s="252"/>
      <c r="O222" s="80"/>
      <c r="P222" s="119">
        <f t="shared" si="60"/>
        <v>1.032</v>
      </c>
      <c r="Q222" s="252">
        <f t="shared" si="61"/>
        <v>1.0349999999999999</v>
      </c>
      <c r="R222" s="81">
        <f>PRODUCT(E222:Q222)</f>
        <v>1.2028750424589598</v>
      </c>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row>
    <row r="223" spans="1:247" x14ac:dyDescent="0.35">
      <c r="A223" s="244">
        <v>8122</v>
      </c>
      <c r="B223" s="233" t="s">
        <v>2207</v>
      </c>
      <c r="C223" s="186" t="s">
        <v>40</v>
      </c>
      <c r="D223" s="245" t="s">
        <v>1993</v>
      </c>
      <c r="E223" s="119"/>
      <c r="F223" s="75">
        <f t="shared" si="57"/>
        <v>1.0209999999999999</v>
      </c>
      <c r="G223" s="252"/>
      <c r="H223" s="119"/>
      <c r="I223" s="234"/>
      <c r="J223" s="234"/>
      <c r="K223" s="234"/>
      <c r="L223" s="234"/>
      <c r="M223" s="234"/>
      <c r="N223" s="252"/>
      <c r="O223" s="80"/>
      <c r="P223" s="119">
        <f t="shared" si="60"/>
        <v>1.032</v>
      </c>
      <c r="Q223" s="252">
        <f t="shared" si="61"/>
        <v>1.0349999999999999</v>
      </c>
      <c r="R223" s="81">
        <f t="shared" si="58"/>
        <v>1.0905505199999999</v>
      </c>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row>
    <row r="224" spans="1:247" x14ac:dyDescent="0.35">
      <c r="A224" s="244">
        <v>8124</v>
      </c>
      <c r="B224" s="233" t="s">
        <v>2208</v>
      </c>
      <c r="C224" s="186" t="s">
        <v>1603</v>
      </c>
      <c r="D224" s="245" t="s">
        <v>1993</v>
      </c>
      <c r="E224" s="119"/>
      <c r="F224" s="75">
        <f t="shared" si="57"/>
        <v>1.0209999999999999</v>
      </c>
      <c r="G224" s="252"/>
      <c r="H224" s="119"/>
      <c r="I224" s="234"/>
      <c r="J224" s="234"/>
      <c r="K224" s="234"/>
      <c r="L224" s="234"/>
      <c r="M224" s="234"/>
      <c r="N224" s="252"/>
      <c r="O224" s="80"/>
      <c r="P224" s="119">
        <f t="shared" si="60"/>
        <v>1.032</v>
      </c>
      <c r="Q224" s="252">
        <f t="shared" si="61"/>
        <v>1.0349999999999999</v>
      </c>
      <c r="R224" s="81">
        <f t="shared" si="58"/>
        <v>1.0905505199999999</v>
      </c>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row>
    <row r="225" spans="1:247" x14ac:dyDescent="0.35">
      <c r="A225" s="244">
        <v>8134</v>
      </c>
      <c r="B225" s="233" t="s">
        <v>2209</v>
      </c>
      <c r="C225" s="186" t="s">
        <v>40</v>
      </c>
      <c r="D225" s="245" t="s">
        <v>1993</v>
      </c>
      <c r="E225" s="119"/>
      <c r="F225" s="75">
        <f t="shared" si="57"/>
        <v>1.0209999999999999</v>
      </c>
      <c r="G225" s="252"/>
      <c r="H225" s="119"/>
      <c r="I225" s="234"/>
      <c r="J225" s="234"/>
      <c r="K225" s="234"/>
      <c r="L225" s="234"/>
      <c r="M225" s="234"/>
      <c r="N225" s="252"/>
      <c r="O225" s="80"/>
      <c r="P225" s="119">
        <f t="shared" si="60"/>
        <v>1.032</v>
      </c>
      <c r="Q225" s="252">
        <f t="shared" si="61"/>
        <v>1.0349999999999999</v>
      </c>
      <c r="R225" s="81">
        <f>PRODUCT(E225:Q225)</f>
        <v>1.0905505199999999</v>
      </c>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row>
    <row r="226" spans="1:247" x14ac:dyDescent="0.35">
      <c r="A226" s="244">
        <v>8211</v>
      </c>
      <c r="B226" s="233" t="s">
        <v>2210</v>
      </c>
      <c r="C226" s="186" t="s">
        <v>2211</v>
      </c>
      <c r="D226" s="245" t="s">
        <v>1993</v>
      </c>
      <c r="E226" s="119"/>
      <c r="F226" s="75">
        <f t="shared" si="57"/>
        <v>1.0209999999999999</v>
      </c>
      <c r="G226" s="252"/>
      <c r="H226" s="119"/>
      <c r="I226" s="234"/>
      <c r="J226" s="234"/>
      <c r="K226" s="234"/>
      <c r="L226" s="234"/>
      <c r="M226" s="234"/>
      <c r="N226" s="252"/>
      <c r="O226" s="80"/>
      <c r="P226" s="119">
        <f t="shared" si="60"/>
        <v>1.032</v>
      </c>
      <c r="Q226" s="252">
        <f t="shared" si="61"/>
        <v>1.0349999999999999</v>
      </c>
      <c r="R226" s="81">
        <f t="shared" si="58"/>
        <v>1.0905505199999999</v>
      </c>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row>
    <row r="227" spans="1:247" x14ac:dyDescent="0.35">
      <c r="A227" s="244">
        <v>8231</v>
      </c>
      <c r="B227" s="233" t="s">
        <v>2212</v>
      </c>
      <c r="C227" s="186" t="s">
        <v>2211</v>
      </c>
      <c r="D227" s="245" t="s">
        <v>1993</v>
      </c>
      <c r="E227" s="119"/>
      <c r="F227" s="75">
        <f t="shared" si="57"/>
        <v>1.0209999999999999</v>
      </c>
      <c r="G227" s="252"/>
      <c r="H227" s="119"/>
      <c r="I227" s="234"/>
      <c r="J227" s="234"/>
      <c r="K227" s="234"/>
      <c r="L227" s="234"/>
      <c r="M227" s="234"/>
      <c r="N227" s="252"/>
      <c r="O227" s="80"/>
      <c r="P227" s="119">
        <f t="shared" si="60"/>
        <v>1.032</v>
      </c>
      <c r="Q227" s="252">
        <f t="shared" si="61"/>
        <v>1.0349999999999999</v>
      </c>
      <c r="R227" s="81">
        <f t="shared" si="58"/>
        <v>1.0905505199999999</v>
      </c>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row>
    <row r="228" spans="1:247" x14ac:dyDescent="0.35">
      <c r="A228" s="244">
        <v>8232</v>
      </c>
      <c r="B228" s="233" t="s">
        <v>2213</v>
      </c>
      <c r="C228" s="186" t="s">
        <v>40</v>
      </c>
      <c r="D228" s="245" t="s">
        <v>1993</v>
      </c>
      <c r="E228" s="119"/>
      <c r="F228" s="75">
        <f t="shared" si="57"/>
        <v>1.0209999999999999</v>
      </c>
      <c r="G228" s="252"/>
      <c r="H228" s="119"/>
      <c r="I228" s="234"/>
      <c r="J228" s="234"/>
      <c r="K228" s="234"/>
      <c r="L228" s="234"/>
      <c r="M228" s="234"/>
      <c r="N228" s="252"/>
      <c r="O228" s="80"/>
      <c r="P228" s="119">
        <f t="shared" si="60"/>
        <v>1.032</v>
      </c>
      <c r="Q228" s="252">
        <f t="shared" si="61"/>
        <v>1.0349999999999999</v>
      </c>
      <c r="R228" s="81">
        <f t="shared" si="58"/>
        <v>1.0905505199999999</v>
      </c>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row>
    <row r="229" spans="1:247" x14ac:dyDescent="0.35">
      <c r="A229" s="244">
        <v>8241</v>
      </c>
      <c r="B229" s="233" t="s">
        <v>2214</v>
      </c>
      <c r="C229" s="186" t="s">
        <v>28</v>
      </c>
      <c r="D229" s="245" t="s">
        <v>1996</v>
      </c>
      <c r="E229" s="119"/>
      <c r="F229" s="75">
        <f t="shared" si="57"/>
        <v>1.0209999999999999</v>
      </c>
      <c r="G229" s="252"/>
      <c r="H229" s="119"/>
      <c r="I229" s="234"/>
      <c r="J229" s="234"/>
      <c r="K229" s="234"/>
      <c r="L229" s="234"/>
      <c r="M229" s="234"/>
      <c r="N229" s="252"/>
      <c r="O229" s="80"/>
      <c r="P229" s="119">
        <f t="shared" si="60"/>
        <v>1.032</v>
      </c>
      <c r="Q229" s="252">
        <f t="shared" si="61"/>
        <v>1.0349999999999999</v>
      </c>
      <c r="R229" s="81">
        <f t="shared" si="58"/>
        <v>1.0905505199999999</v>
      </c>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c r="IL229" s="68"/>
      <c r="IM229" s="68"/>
    </row>
    <row r="230" spans="1:247" x14ac:dyDescent="0.35">
      <c r="A230" s="244">
        <v>8261</v>
      </c>
      <c r="B230" s="233" t="s">
        <v>2215</v>
      </c>
      <c r="C230" s="186" t="s">
        <v>1744</v>
      </c>
      <c r="D230" s="245" t="s">
        <v>1993</v>
      </c>
      <c r="E230" s="119"/>
      <c r="F230" s="75">
        <f t="shared" si="57"/>
        <v>1.0209999999999999</v>
      </c>
      <c r="G230" s="252"/>
      <c r="H230" s="119"/>
      <c r="I230" s="234"/>
      <c r="J230" s="234"/>
      <c r="K230" s="234"/>
      <c r="L230" s="234"/>
      <c r="M230" s="234"/>
      <c r="N230" s="252"/>
      <c r="O230" s="80"/>
      <c r="P230" s="119">
        <f t="shared" si="60"/>
        <v>1.032</v>
      </c>
      <c r="Q230" s="252">
        <f t="shared" si="61"/>
        <v>1.0349999999999999</v>
      </c>
      <c r="R230" s="81">
        <f t="shared" si="58"/>
        <v>1.0905505199999999</v>
      </c>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c r="HI230" s="68"/>
      <c r="HJ230" s="68"/>
      <c r="HK230" s="68"/>
      <c r="HL230" s="68"/>
      <c r="HM230" s="68"/>
      <c r="HN230" s="68"/>
      <c r="HO230" s="68"/>
      <c r="HP230" s="68"/>
      <c r="HQ230" s="68"/>
      <c r="HR230" s="68"/>
      <c r="HS230" s="68"/>
      <c r="HT230" s="68"/>
      <c r="HU230" s="68"/>
      <c r="HV230" s="68"/>
      <c r="HW230" s="68"/>
      <c r="HX230" s="68"/>
      <c r="HY230" s="68"/>
      <c r="HZ230" s="68"/>
      <c r="IA230" s="68"/>
      <c r="IB230" s="68"/>
      <c r="IC230" s="68"/>
      <c r="ID230" s="68"/>
      <c r="IE230" s="68"/>
      <c r="IF230" s="68"/>
      <c r="IG230" s="68"/>
      <c r="IH230" s="68"/>
      <c r="II230" s="68"/>
      <c r="IJ230" s="68"/>
      <c r="IK230" s="68"/>
      <c r="IL230" s="68"/>
      <c r="IM230" s="68"/>
    </row>
    <row r="231" spans="1:247" x14ac:dyDescent="0.35">
      <c r="A231" s="244">
        <v>8271</v>
      </c>
      <c r="B231" s="233" t="s">
        <v>2216</v>
      </c>
      <c r="C231" s="186" t="s">
        <v>28</v>
      </c>
      <c r="D231" s="245" t="s">
        <v>1996</v>
      </c>
      <c r="E231" s="119"/>
      <c r="F231" s="75">
        <f t="shared" si="57"/>
        <v>1.0209999999999999</v>
      </c>
      <c r="G231" s="252"/>
      <c r="H231" s="119"/>
      <c r="I231" s="234"/>
      <c r="J231" s="234"/>
      <c r="K231" s="234"/>
      <c r="L231" s="234"/>
      <c r="M231" s="234"/>
      <c r="N231" s="252"/>
      <c r="O231" s="80"/>
      <c r="P231" s="119">
        <f t="shared" si="60"/>
        <v>1.032</v>
      </c>
      <c r="Q231" s="252">
        <f t="shared" si="61"/>
        <v>1.0349999999999999</v>
      </c>
      <c r="R231" s="81">
        <f t="shared" si="58"/>
        <v>1.0905505199999999</v>
      </c>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c r="IL231" s="68"/>
      <c r="IM231" s="68"/>
    </row>
    <row r="232" spans="1:247" x14ac:dyDescent="0.35">
      <c r="A232" s="244">
        <v>8311</v>
      </c>
      <c r="B232" s="233" t="s">
        <v>2217</v>
      </c>
      <c r="C232" s="186" t="s">
        <v>1751</v>
      </c>
      <c r="D232" s="245" t="s">
        <v>1993</v>
      </c>
      <c r="E232" s="119"/>
      <c r="F232" s="75">
        <f t="shared" si="57"/>
        <v>1.0209999999999999</v>
      </c>
      <c r="G232" s="252">
        <f>+$G$3</f>
        <v>1.0269999999999999</v>
      </c>
      <c r="H232" s="119"/>
      <c r="I232" s="234"/>
      <c r="J232" s="234"/>
      <c r="K232" s="234"/>
      <c r="L232" s="234"/>
      <c r="M232" s="234"/>
      <c r="N232" s="252"/>
      <c r="O232" s="80"/>
      <c r="P232" s="119">
        <f t="shared" si="60"/>
        <v>1.032</v>
      </c>
      <c r="Q232" s="252">
        <f t="shared" si="61"/>
        <v>1.0349999999999999</v>
      </c>
      <c r="R232" s="81">
        <f t="shared" si="58"/>
        <v>1.1199953840399997</v>
      </c>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c r="HI232" s="68"/>
      <c r="HJ232" s="68"/>
      <c r="HK232" s="68"/>
      <c r="HL232" s="68"/>
      <c r="HM232" s="68"/>
      <c r="HN232" s="68"/>
      <c r="HO232" s="68"/>
      <c r="HP232" s="68"/>
      <c r="HQ232" s="68"/>
      <c r="HR232" s="68"/>
      <c r="HS232" s="68"/>
      <c r="HT232" s="68"/>
      <c r="HU232" s="68"/>
      <c r="HV232" s="68"/>
      <c r="HW232" s="68"/>
      <c r="HX232" s="68"/>
      <c r="HY232" s="68"/>
      <c r="HZ232" s="68"/>
      <c r="IA232" s="68"/>
      <c r="IB232" s="68"/>
      <c r="IC232" s="68"/>
      <c r="ID232" s="68"/>
      <c r="IE232" s="68"/>
      <c r="IF232" s="68"/>
      <c r="IG232" s="68"/>
      <c r="IH232" s="68"/>
      <c r="II232" s="68"/>
      <c r="IJ232" s="68"/>
      <c r="IK232" s="68"/>
      <c r="IL232" s="68"/>
      <c r="IM232" s="68"/>
    </row>
    <row r="233" spans="1:247" x14ac:dyDescent="0.35">
      <c r="A233" s="244">
        <v>8312</v>
      </c>
      <c r="B233" s="233" t="s">
        <v>2218</v>
      </c>
      <c r="C233" s="186" t="s">
        <v>1751</v>
      </c>
      <c r="D233" s="245" t="s">
        <v>1993</v>
      </c>
      <c r="E233" s="119"/>
      <c r="F233" s="75">
        <f t="shared" si="57"/>
        <v>1.0209999999999999</v>
      </c>
      <c r="G233" s="252">
        <f>+$G$3</f>
        <v>1.0269999999999999</v>
      </c>
      <c r="H233" s="119"/>
      <c r="I233" s="234"/>
      <c r="J233" s="234"/>
      <c r="K233" s="234"/>
      <c r="L233" s="234"/>
      <c r="M233" s="234"/>
      <c r="N233" s="252"/>
      <c r="O233" s="80"/>
      <c r="P233" s="119">
        <f t="shared" si="60"/>
        <v>1.032</v>
      </c>
      <c r="Q233" s="252">
        <f t="shared" si="61"/>
        <v>1.0349999999999999</v>
      </c>
      <c r="R233" s="81">
        <f t="shared" si="58"/>
        <v>1.1199953840399997</v>
      </c>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c r="HI233" s="68"/>
      <c r="HJ233" s="68"/>
      <c r="HK233" s="68"/>
      <c r="HL233" s="68"/>
      <c r="HM233" s="68"/>
      <c r="HN233" s="68"/>
      <c r="HO233" s="68"/>
      <c r="HP233" s="68"/>
      <c r="HQ233" s="68"/>
      <c r="HR233" s="68"/>
      <c r="HS233" s="68"/>
      <c r="HT233" s="68"/>
      <c r="HU233" s="68"/>
      <c r="HV233" s="68"/>
      <c r="HW233" s="68"/>
      <c r="HX233" s="68"/>
      <c r="HY233" s="68"/>
      <c r="HZ233" s="68"/>
      <c r="IA233" s="68"/>
      <c r="IB233" s="68"/>
      <c r="IC233" s="68"/>
      <c r="ID233" s="68"/>
      <c r="IE233" s="68"/>
      <c r="IF233" s="68"/>
      <c r="IG233" s="68"/>
      <c r="IH233" s="68"/>
      <c r="II233" s="68"/>
      <c r="IJ233" s="68"/>
      <c r="IK233" s="68"/>
      <c r="IL233" s="68"/>
      <c r="IM233" s="68"/>
    </row>
    <row r="234" spans="1:247" x14ac:dyDescent="0.35">
      <c r="A234" s="244">
        <v>8313</v>
      </c>
      <c r="B234" s="233" t="s">
        <v>2219</v>
      </c>
      <c r="C234" s="186" t="s">
        <v>1751</v>
      </c>
      <c r="D234" s="245" t="s">
        <v>1993</v>
      </c>
      <c r="E234" s="119"/>
      <c r="F234" s="75">
        <f t="shared" si="57"/>
        <v>1.0209999999999999</v>
      </c>
      <c r="G234" s="252">
        <f>+$G$3</f>
        <v>1.0269999999999999</v>
      </c>
      <c r="H234" s="119"/>
      <c r="I234" s="234"/>
      <c r="J234" s="234"/>
      <c r="K234" s="234"/>
      <c r="L234" s="234"/>
      <c r="M234" s="234"/>
      <c r="N234" s="252"/>
      <c r="O234" s="80"/>
      <c r="P234" s="119">
        <f t="shared" si="60"/>
        <v>1.032</v>
      </c>
      <c r="Q234" s="252">
        <f t="shared" si="61"/>
        <v>1.0349999999999999</v>
      </c>
      <c r="R234" s="81">
        <f t="shared" si="58"/>
        <v>1.1199953840399997</v>
      </c>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c r="IL234" s="68"/>
      <c r="IM234" s="68"/>
    </row>
    <row r="235" spans="1:247" x14ac:dyDescent="0.35">
      <c r="A235" s="244">
        <v>8314</v>
      </c>
      <c r="B235" s="233" t="s">
        <v>2220</v>
      </c>
      <c r="C235" s="186" t="s">
        <v>113</v>
      </c>
      <c r="D235" s="245" t="s">
        <v>1993</v>
      </c>
      <c r="E235" s="119"/>
      <c r="F235" s="75">
        <f t="shared" si="57"/>
        <v>1.0209999999999999</v>
      </c>
      <c r="G235" s="252"/>
      <c r="H235" s="119"/>
      <c r="I235" s="234"/>
      <c r="J235" s="234"/>
      <c r="K235" s="234"/>
      <c r="L235" s="234"/>
      <c r="M235" s="234"/>
      <c r="N235" s="252"/>
      <c r="O235" s="80"/>
      <c r="P235" s="119">
        <f t="shared" si="60"/>
        <v>1.032</v>
      </c>
      <c r="Q235" s="252">
        <f t="shared" si="61"/>
        <v>1.0349999999999999</v>
      </c>
      <c r="R235" s="81">
        <f t="shared" si="58"/>
        <v>1.0905505199999999</v>
      </c>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c r="HI235" s="68"/>
      <c r="HJ235" s="68"/>
      <c r="HK235" s="68"/>
      <c r="HL235" s="68"/>
      <c r="HM235" s="68"/>
      <c r="HN235" s="68"/>
      <c r="HO235" s="68"/>
      <c r="HP235" s="68"/>
      <c r="HQ235" s="68"/>
      <c r="HR235" s="68"/>
      <c r="HS235" s="68"/>
      <c r="HT235" s="68"/>
      <c r="HU235" s="68"/>
      <c r="HV235" s="68"/>
      <c r="HW235" s="68"/>
      <c r="HX235" s="68"/>
      <c r="HY235" s="68"/>
      <c r="HZ235" s="68"/>
      <c r="IA235" s="68"/>
      <c r="IB235" s="68"/>
      <c r="IC235" s="68"/>
      <c r="ID235" s="68"/>
      <c r="IE235" s="68"/>
      <c r="IF235" s="68"/>
      <c r="IG235" s="68"/>
      <c r="IH235" s="68"/>
      <c r="II235" s="68"/>
      <c r="IJ235" s="68"/>
      <c r="IK235" s="68"/>
      <c r="IL235" s="68"/>
      <c r="IM235" s="68"/>
    </row>
    <row r="236" spans="1:247" x14ac:dyDescent="0.35">
      <c r="A236" s="244">
        <v>8315</v>
      </c>
      <c r="B236" s="233" t="s">
        <v>2221</v>
      </c>
      <c r="C236" s="186" t="s">
        <v>113</v>
      </c>
      <c r="D236" s="245" t="s">
        <v>1993</v>
      </c>
      <c r="E236" s="119"/>
      <c r="F236" s="75">
        <f t="shared" si="57"/>
        <v>1.0209999999999999</v>
      </c>
      <c r="G236" s="252"/>
      <c r="H236" s="119"/>
      <c r="I236" s="234"/>
      <c r="J236" s="234"/>
      <c r="K236" s="234"/>
      <c r="L236" s="234"/>
      <c r="M236" s="234"/>
      <c r="N236" s="252"/>
      <c r="O236" s="80"/>
      <c r="P236" s="119">
        <f t="shared" si="60"/>
        <v>1.032</v>
      </c>
      <c r="Q236" s="252">
        <f t="shared" si="61"/>
        <v>1.0349999999999999</v>
      </c>
      <c r="R236" s="81">
        <f t="shared" si="58"/>
        <v>1.0905505199999999</v>
      </c>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c r="IL236" s="68"/>
      <c r="IM236" s="68"/>
    </row>
    <row r="237" spans="1:247" x14ac:dyDescent="0.35">
      <c r="A237" s="244">
        <v>8321</v>
      </c>
      <c r="B237" s="233" t="s">
        <v>2222</v>
      </c>
      <c r="C237" s="186" t="s">
        <v>28</v>
      </c>
      <c r="D237" s="245" t="s">
        <v>1996</v>
      </c>
      <c r="E237" s="119"/>
      <c r="F237" s="75">
        <f t="shared" si="57"/>
        <v>1.0209999999999999</v>
      </c>
      <c r="G237" s="252"/>
      <c r="H237" s="119"/>
      <c r="I237" s="234"/>
      <c r="J237" s="234"/>
      <c r="K237" s="234"/>
      <c r="L237" s="234"/>
      <c r="M237" s="234"/>
      <c r="N237" s="252"/>
      <c r="O237" s="80"/>
      <c r="P237" s="119">
        <f t="shared" si="60"/>
        <v>1.032</v>
      </c>
      <c r="Q237" s="252">
        <f t="shared" si="61"/>
        <v>1.0349999999999999</v>
      </c>
      <c r="R237" s="81">
        <f t="shared" si="58"/>
        <v>1.0905505199999999</v>
      </c>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row>
    <row r="238" spans="1:247" x14ac:dyDescent="0.35">
      <c r="A238" s="244">
        <v>8331</v>
      </c>
      <c r="B238" s="233" t="s">
        <v>2223</v>
      </c>
      <c r="C238" s="186" t="s">
        <v>40</v>
      </c>
      <c r="D238" s="245" t="s">
        <v>1993</v>
      </c>
      <c r="E238" s="119"/>
      <c r="F238" s="75">
        <f t="shared" si="57"/>
        <v>1.0209999999999999</v>
      </c>
      <c r="G238" s="252">
        <f>+$G$3</f>
        <v>1.0269999999999999</v>
      </c>
      <c r="H238" s="119"/>
      <c r="I238" s="234"/>
      <c r="J238" s="234"/>
      <c r="K238" s="234"/>
      <c r="L238" s="234"/>
      <c r="M238" s="234"/>
      <c r="N238" s="252"/>
      <c r="O238" s="80"/>
      <c r="P238" s="119"/>
      <c r="Q238" s="252"/>
      <c r="R238" s="81">
        <f t="shared" si="58"/>
        <v>1.0485669999999998</v>
      </c>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c r="HI238" s="68"/>
      <c r="HJ238" s="68"/>
      <c r="HK238" s="68"/>
      <c r="HL238" s="68"/>
      <c r="HM238" s="68"/>
      <c r="HN238" s="68"/>
      <c r="HO238" s="68"/>
      <c r="HP238" s="68"/>
      <c r="HQ238" s="68"/>
      <c r="HR238" s="68"/>
      <c r="HS238" s="68"/>
      <c r="HT238" s="68"/>
      <c r="HU238" s="68"/>
      <c r="HV238" s="68"/>
      <c r="HW238" s="68"/>
      <c r="HX238" s="68"/>
      <c r="HY238" s="68"/>
      <c r="HZ238" s="68"/>
      <c r="IA238" s="68"/>
      <c r="IB238" s="68"/>
      <c r="IC238" s="68"/>
      <c r="ID238" s="68"/>
      <c r="IE238" s="68"/>
      <c r="IF238" s="68"/>
      <c r="IG238" s="68"/>
      <c r="IH238" s="68"/>
      <c r="II238" s="68"/>
      <c r="IJ238" s="68"/>
      <c r="IK238" s="68"/>
      <c r="IL238" s="68"/>
      <c r="IM238" s="68"/>
    </row>
    <row r="239" spans="1:247" x14ac:dyDescent="0.35">
      <c r="A239" s="244">
        <v>8332</v>
      </c>
      <c r="B239" s="233" t="s">
        <v>2224</v>
      </c>
      <c r="C239" s="186" t="s">
        <v>999</v>
      </c>
      <c r="D239" s="245" t="s">
        <v>1993</v>
      </c>
      <c r="E239" s="119"/>
      <c r="F239" s="75">
        <f t="shared" si="57"/>
        <v>1.0209999999999999</v>
      </c>
      <c r="G239" s="252">
        <f>+$G$3</f>
        <v>1.0269999999999999</v>
      </c>
      <c r="H239" s="119"/>
      <c r="I239" s="234"/>
      <c r="J239" s="234"/>
      <c r="K239" s="234"/>
      <c r="L239" s="234"/>
      <c r="M239" s="234"/>
      <c r="N239" s="252"/>
      <c r="O239" s="80"/>
      <c r="P239" s="119">
        <f>+$P$3</f>
        <v>1.032</v>
      </c>
      <c r="Q239" s="252">
        <f>+$Q$3</f>
        <v>1.0349999999999999</v>
      </c>
      <c r="R239" s="81">
        <f t="shared" si="58"/>
        <v>1.1199953840399997</v>
      </c>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c r="HI239" s="68"/>
      <c r="HJ239" s="68"/>
      <c r="HK239" s="68"/>
      <c r="HL239" s="68"/>
      <c r="HM239" s="68"/>
      <c r="HN239" s="68"/>
      <c r="HO239" s="68"/>
      <c r="HP239" s="68"/>
      <c r="HQ239" s="68"/>
      <c r="HR239" s="68"/>
      <c r="HS239" s="68"/>
      <c r="HT239" s="68"/>
      <c r="HU239" s="68"/>
      <c r="HV239" s="68"/>
      <c r="HW239" s="68"/>
      <c r="HX239" s="68"/>
      <c r="HY239" s="68"/>
      <c r="HZ239" s="68"/>
      <c r="IA239" s="68"/>
      <c r="IB239" s="68"/>
      <c r="IC239" s="68"/>
      <c r="ID239" s="68"/>
      <c r="IE239" s="68"/>
      <c r="IF239" s="68"/>
      <c r="IG239" s="68"/>
      <c r="IH239" s="68"/>
      <c r="II239" s="68"/>
      <c r="IJ239" s="68"/>
      <c r="IK239" s="68"/>
      <c r="IL239" s="68"/>
      <c r="IM239" s="68"/>
    </row>
    <row r="240" spans="1:247" x14ac:dyDescent="0.35">
      <c r="A240" s="244">
        <v>8333</v>
      </c>
      <c r="B240" s="233" t="s">
        <v>2225</v>
      </c>
      <c r="C240" s="186" t="s">
        <v>487</v>
      </c>
      <c r="D240" s="245" t="s">
        <v>1993</v>
      </c>
      <c r="E240" s="119"/>
      <c r="F240" s="75">
        <f t="shared" si="57"/>
        <v>1.0209999999999999</v>
      </c>
      <c r="G240" s="252">
        <f>+$G$3</f>
        <v>1.0269999999999999</v>
      </c>
      <c r="H240" s="119"/>
      <c r="I240" s="234"/>
      <c r="J240" s="234"/>
      <c r="K240" s="234"/>
      <c r="L240" s="234"/>
      <c r="M240" s="234"/>
      <c r="N240" s="252"/>
      <c r="O240" s="80"/>
      <c r="P240" s="119">
        <f>+$P$3</f>
        <v>1.032</v>
      </c>
      <c r="Q240" s="252">
        <f>+$Q$3</f>
        <v>1.0349999999999999</v>
      </c>
      <c r="R240" s="81">
        <f t="shared" si="58"/>
        <v>1.1199953840399997</v>
      </c>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c r="HI240" s="68"/>
      <c r="HJ240" s="68"/>
      <c r="HK240" s="68"/>
      <c r="HL240" s="68"/>
      <c r="HM240" s="68"/>
      <c r="HN240" s="68"/>
      <c r="HO240" s="68"/>
      <c r="HP240" s="68"/>
      <c r="HQ240" s="68"/>
      <c r="HR240" s="68"/>
      <c r="HS240" s="68"/>
      <c r="HT240" s="68"/>
      <c r="HU240" s="68"/>
      <c r="HV240" s="68"/>
      <c r="HW240" s="68"/>
      <c r="HX240" s="68"/>
      <c r="HY240" s="68"/>
      <c r="HZ240" s="68"/>
      <c r="IA240" s="68"/>
      <c r="IB240" s="68"/>
      <c r="IC240" s="68"/>
      <c r="ID240" s="68"/>
      <c r="IE240" s="68"/>
      <c r="IF240" s="68"/>
      <c r="IG240" s="68"/>
      <c r="IH240" s="68"/>
      <c r="II240" s="68"/>
      <c r="IJ240" s="68"/>
      <c r="IK240" s="68"/>
      <c r="IL240" s="68"/>
      <c r="IM240" s="68"/>
    </row>
    <row r="241" spans="1:247" x14ac:dyDescent="0.35">
      <c r="A241" s="244">
        <v>8334</v>
      </c>
      <c r="B241" s="233" t="s">
        <v>2226</v>
      </c>
      <c r="C241" s="186" t="s">
        <v>487</v>
      </c>
      <c r="D241" s="245" t="s">
        <v>1993</v>
      </c>
      <c r="E241" s="119"/>
      <c r="F241" s="75">
        <f t="shared" si="57"/>
        <v>1.0209999999999999</v>
      </c>
      <c r="G241" s="252">
        <f>+$G$3</f>
        <v>1.0269999999999999</v>
      </c>
      <c r="H241" s="119"/>
      <c r="I241" s="234"/>
      <c r="J241" s="234"/>
      <c r="K241" s="234"/>
      <c r="L241" s="234"/>
      <c r="M241" s="234"/>
      <c r="N241" s="252"/>
      <c r="O241" s="80"/>
      <c r="P241" s="119">
        <f>+$P$3</f>
        <v>1.032</v>
      </c>
      <c r="Q241" s="252">
        <f>+$Q$3</f>
        <v>1.0349999999999999</v>
      </c>
      <c r="R241" s="81">
        <f t="shared" si="58"/>
        <v>1.1199953840399997</v>
      </c>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c r="HI241" s="68"/>
      <c r="HJ241" s="68"/>
      <c r="HK241" s="68"/>
      <c r="HL241" s="68"/>
      <c r="HM241" s="68"/>
      <c r="HN241" s="68"/>
      <c r="HO241" s="68"/>
      <c r="HP241" s="68"/>
      <c r="HQ241" s="68"/>
      <c r="HR241" s="68"/>
      <c r="HS241" s="68"/>
      <c r="HT241" s="68"/>
      <c r="HU241" s="68"/>
      <c r="HV241" s="68"/>
      <c r="HW241" s="68"/>
      <c r="HX241" s="68"/>
      <c r="HY241" s="68"/>
      <c r="HZ241" s="68"/>
      <c r="IA241" s="68"/>
      <c r="IB241" s="68"/>
      <c r="IC241" s="68"/>
      <c r="ID241" s="68"/>
      <c r="IE241" s="68"/>
      <c r="IF241" s="68"/>
      <c r="IG241" s="68"/>
      <c r="IH241" s="68"/>
      <c r="II241" s="68"/>
      <c r="IJ241" s="68"/>
      <c r="IK241" s="68"/>
      <c r="IL241" s="68"/>
      <c r="IM241" s="68"/>
    </row>
    <row r="242" spans="1:247" x14ac:dyDescent="0.35">
      <c r="A242" s="244">
        <v>8412</v>
      </c>
      <c r="B242" s="233" t="s">
        <v>2227</v>
      </c>
      <c r="C242" s="186" t="s">
        <v>1751</v>
      </c>
      <c r="D242" s="245" t="s">
        <v>1993</v>
      </c>
      <c r="E242" s="119"/>
      <c r="F242" s="75">
        <f t="shared" si="57"/>
        <v>1.0209999999999999</v>
      </c>
      <c r="G242" s="252">
        <f>+$G$3</f>
        <v>1.0269999999999999</v>
      </c>
      <c r="H242" s="119"/>
      <c r="I242" s="234"/>
      <c r="J242" s="234"/>
      <c r="K242" s="234"/>
      <c r="L242" s="234"/>
      <c r="M242" s="234"/>
      <c r="N242" s="252"/>
      <c r="O242" s="80"/>
      <c r="P242" s="119">
        <f>+$P$3</f>
        <v>1.032</v>
      </c>
      <c r="Q242" s="252">
        <f>+$Q$3</f>
        <v>1.0349999999999999</v>
      </c>
      <c r="R242" s="81">
        <f t="shared" si="58"/>
        <v>1.1199953840399997</v>
      </c>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c r="GM242" s="68"/>
      <c r="GN242" s="68"/>
      <c r="GO242" s="68"/>
      <c r="GP242" s="68"/>
      <c r="GQ242" s="68"/>
      <c r="GR242" s="68"/>
      <c r="GS242" s="68"/>
      <c r="GT242" s="68"/>
      <c r="GU242" s="68"/>
      <c r="GV242" s="68"/>
      <c r="GW242" s="68"/>
      <c r="GX242" s="68"/>
      <c r="GY242" s="68"/>
      <c r="GZ242" s="68"/>
      <c r="HA242" s="68"/>
      <c r="HB242" s="68"/>
      <c r="HC242" s="68"/>
      <c r="HD242" s="68"/>
      <c r="HE242" s="68"/>
      <c r="HF242" s="68"/>
      <c r="HG242" s="68"/>
      <c r="HH242" s="68"/>
      <c r="HI242" s="68"/>
      <c r="HJ242" s="68"/>
      <c r="HK242" s="68"/>
      <c r="HL242" s="68"/>
      <c r="HM242" s="68"/>
      <c r="HN242" s="68"/>
      <c r="HO242" s="68"/>
      <c r="HP242" s="68"/>
      <c r="HQ242" s="68"/>
      <c r="HR242" s="68"/>
      <c r="HS242" s="68"/>
      <c r="HT242" s="68"/>
      <c r="HU242" s="68"/>
      <c r="HV242" s="68"/>
      <c r="HW242" s="68"/>
      <c r="HX242" s="68"/>
      <c r="HY242" s="68"/>
      <c r="HZ242" s="68"/>
      <c r="IA242" s="68"/>
      <c r="IB242" s="68"/>
      <c r="IC242" s="68"/>
      <c r="ID242" s="68"/>
      <c r="IE242" s="68"/>
      <c r="IF242" s="68"/>
      <c r="IG242" s="68"/>
      <c r="IH242" s="68"/>
      <c r="II242" s="68"/>
      <c r="IJ242" s="68"/>
      <c r="IK242" s="68"/>
      <c r="IL242" s="68"/>
      <c r="IM242" s="68"/>
    </row>
    <row r="243" spans="1:247" x14ac:dyDescent="0.35">
      <c r="A243" s="244">
        <v>8413</v>
      </c>
      <c r="B243" s="233" t="s">
        <v>2228</v>
      </c>
      <c r="C243" s="186" t="s">
        <v>113</v>
      </c>
      <c r="D243" s="245" t="s">
        <v>1993</v>
      </c>
      <c r="E243" s="119"/>
      <c r="F243" s="75">
        <f t="shared" si="57"/>
        <v>1.0209999999999999</v>
      </c>
      <c r="G243" s="252"/>
      <c r="H243" s="119"/>
      <c r="I243" s="234"/>
      <c r="J243" s="234"/>
      <c r="K243" s="234"/>
      <c r="L243" s="234"/>
      <c r="M243" s="234"/>
      <c r="N243" s="252"/>
      <c r="O243" s="80"/>
      <c r="P243" s="119">
        <f>+$P$3</f>
        <v>1.032</v>
      </c>
      <c r="Q243" s="252">
        <f>+$Q$3</f>
        <v>1.0349999999999999</v>
      </c>
      <c r="R243" s="81">
        <f t="shared" si="58"/>
        <v>1.0905505199999999</v>
      </c>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c r="HI243" s="68"/>
      <c r="HJ243" s="68"/>
      <c r="HK243" s="68"/>
      <c r="HL243" s="68"/>
      <c r="HM243" s="68"/>
      <c r="HN243" s="68"/>
      <c r="HO243" s="68"/>
      <c r="HP243" s="68"/>
      <c r="HQ243" s="68"/>
      <c r="HR243" s="68"/>
      <c r="HS243" s="68"/>
      <c r="HT243" s="68"/>
      <c r="HU243" s="68"/>
      <c r="HV243" s="68"/>
      <c r="HW243" s="68"/>
      <c r="HX243" s="68"/>
      <c r="HY243" s="68"/>
      <c r="HZ243" s="68"/>
      <c r="IA243" s="68"/>
      <c r="IB243" s="68"/>
      <c r="IC243" s="68"/>
      <c r="ID243" s="68"/>
      <c r="IE243" s="68"/>
      <c r="IF243" s="68"/>
      <c r="IG243" s="68"/>
      <c r="IH243" s="68"/>
      <c r="II243" s="68"/>
      <c r="IJ243" s="68"/>
      <c r="IK243" s="68"/>
      <c r="IL243" s="68"/>
      <c r="IM243" s="68"/>
    </row>
    <row r="244" spans="1:247" x14ac:dyDescent="0.35">
      <c r="A244" s="244">
        <v>8414</v>
      </c>
      <c r="B244" s="233" t="s">
        <v>2229</v>
      </c>
      <c r="C244" s="186" t="s">
        <v>1751</v>
      </c>
      <c r="D244" s="245" t="s">
        <v>1993</v>
      </c>
      <c r="E244" s="119"/>
      <c r="F244" s="75">
        <f t="shared" si="57"/>
        <v>1.0209999999999999</v>
      </c>
      <c r="G244" s="252"/>
      <c r="H244" s="119"/>
      <c r="I244" s="234"/>
      <c r="J244" s="234"/>
      <c r="K244" s="234"/>
      <c r="L244" s="234"/>
      <c r="M244" s="234"/>
      <c r="N244" s="252"/>
      <c r="O244" s="80"/>
      <c r="P244" s="119"/>
      <c r="Q244" s="252"/>
      <c r="R244" s="81">
        <f t="shared" si="58"/>
        <v>1.0209999999999999</v>
      </c>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c r="GM244" s="68"/>
      <c r="GN244" s="68"/>
      <c r="GO244" s="68"/>
      <c r="GP244" s="68"/>
      <c r="GQ244" s="68"/>
      <c r="GR244" s="68"/>
      <c r="GS244" s="68"/>
      <c r="GT244" s="68"/>
      <c r="GU244" s="68"/>
      <c r="GV244" s="68"/>
      <c r="GW244" s="68"/>
      <c r="GX244" s="68"/>
      <c r="GY244" s="68"/>
      <c r="GZ244" s="68"/>
      <c r="HA244" s="68"/>
      <c r="HB244" s="68"/>
      <c r="HC244" s="68"/>
      <c r="HD244" s="68"/>
      <c r="HE244" s="68"/>
      <c r="HF244" s="68"/>
      <c r="HG244" s="68"/>
      <c r="HH244" s="68"/>
      <c r="HI244" s="68"/>
      <c r="HJ244" s="68"/>
      <c r="HK244" s="68"/>
      <c r="HL244" s="68"/>
      <c r="HM244" s="68"/>
      <c r="HN244" s="68"/>
      <c r="HO244" s="68"/>
      <c r="HP244" s="68"/>
      <c r="HQ244" s="68"/>
      <c r="HR244" s="68"/>
      <c r="HS244" s="68"/>
      <c r="HT244" s="68"/>
      <c r="HU244" s="68"/>
      <c r="HV244" s="68"/>
      <c r="HW244" s="68"/>
      <c r="HX244" s="68"/>
      <c r="HY244" s="68"/>
      <c r="HZ244" s="68"/>
      <c r="IA244" s="68"/>
      <c r="IB244" s="68"/>
      <c r="IC244" s="68"/>
      <c r="ID244" s="68"/>
      <c r="IE244" s="68"/>
      <c r="IF244" s="68"/>
      <c r="IG244" s="68"/>
      <c r="IH244" s="68"/>
      <c r="II244" s="68"/>
      <c r="IJ244" s="68"/>
      <c r="IK244" s="68"/>
      <c r="IL244" s="68"/>
      <c r="IM244" s="68"/>
    </row>
    <row r="245" spans="1:247" x14ac:dyDescent="0.35">
      <c r="A245" s="244">
        <v>8415</v>
      </c>
      <c r="B245" s="233" t="s">
        <v>2230</v>
      </c>
      <c r="C245" s="186" t="s">
        <v>1751</v>
      </c>
      <c r="D245" s="245" t="s">
        <v>1993</v>
      </c>
      <c r="E245" s="119"/>
      <c r="F245" s="75">
        <f t="shared" si="57"/>
        <v>1.0209999999999999</v>
      </c>
      <c r="G245" s="252">
        <f>+$G$3</f>
        <v>1.0269999999999999</v>
      </c>
      <c r="H245" s="119"/>
      <c r="I245" s="234"/>
      <c r="J245" s="234"/>
      <c r="K245" s="234"/>
      <c r="L245" s="234"/>
      <c r="M245" s="234"/>
      <c r="N245" s="252"/>
      <c r="O245" s="80"/>
      <c r="P245" s="119">
        <f t="shared" ref="P245:P253" si="62">+$P$3</f>
        <v>1.032</v>
      </c>
      <c r="Q245" s="252">
        <f t="shared" ref="Q245:Q253" si="63">+$Q$3</f>
        <v>1.0349999999999999</v>
      </c>
      <c r="R245" s="81">
        <f t="shared" si="58"/>
        <v>1.1199953840399997</v>
      </c>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c r="HI245" s="68"/>
      <c r="HJ245" s="68"/>
      <c r="HK245" s="68"/>
      <c r="HL245" s="68"/>
      <c r="HM245" s="68"/>
      <c r="HN245" s="68"/>
      <c r="HO245" s="68"/>
      <c r="HP245" s="68"/>
      <c r="HQ245" s="68"/>
      <c r="HR245" s="68"/>
      <c r="HS245" s="68"/>
      <c r="HT245" s="68"/>
      <c r="HU245" s="68"/>
      <c r="HV245" s="68"/>
      <c r="HW245" s="68"/>
      <c r="HX245" s="68"/>
      <c r="HY245" s="68"/>
      <c r="HZ245" s="68"/>
      <c r="IA245" s="68"/>
      <c r="IB245" s="68"/>
      <c r="IC245" s="68"/>
      <c r="ID245" s="68"/>
      <c r="IE245" s="68"/>
      <c r="IF245" s="68"/>
      <c r="IG245" s="68"/>
      <c r="IH245" s="68"/>
      <c r="II245" s="68"/>
      <c r="IJ245" s="68"/>
      <c r="IK245" s="68"/>
      <c r="IL245" s="68"/>
      <c r="IM245" s="68"/>
    </row>
    <row r="246" spans="1:247" x14ac:dyDescent="0.35">
      <c r="A246" s="244">
        <v>8421</v>
      </c>
      <c r="B246" s="233" t="s">
        <v>2231</v>
      </c>
      <c r="C246" s="186" t="s">
        <v>28</v>
      </c>
      <c r="D246" s="245" t="s">
        <v>1996</v>
      </c>
      <c r="E246" s="119"/>
      <c r="F246" s="75">
        <f t="shared" si="57"/>
        <v>1.0209999999999999</v>
      </c>
      <c r="G246" s="252"/>
      <c r="H246" s="119"/>
      <c r="I246" s="234"/>
      <c r="J246" s="234"/>
      <c r="K246" s="234"/>
      <c r="L246" s="234"/>
      <c r="M246" s="234"/>
      <c r="N246" s="252"/>
      <c r="O246" s="80"/>
      <c r="P246" s="119">
        <f t="shared" si="62"/>
        <v>1.032</v>
      </c>
      <c r="Q246" s="252">
        <f t="shared" si="63"/>
        <v>1.0349999999999999</v>
      </c>
      <c r="R246" s="81">
        <f t="shared" si="58"/>
        <v>1.0905505199999999</v>
      </c>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c r="HI246" s="68"/>
      <c r="HJ246" s="68"/>
      <c r="HK246" s="68"/>
      <c r="HL246" s="68"/>
      <c r="HM246" s="68"/>
      <c r="HN246" s="68"/>
      <c r="HO246" s="68"/>
      <c r="HP246" s="68"/>
      <c r="HQ246" s="68"/>
      <c r="HR246" s="68"/>
      <c r="HS246" s="68"/>
      <c r="HT246" s="68"/>
      <c r="HU246" s="68"/>
      <c r="HV246" s="68"/>
      <c r="HW246" s="68"/>
      <c r="HX246" s="68"/>
      <c r="HY246" s="68"/>
      <c r="HZ246" s="68"/>
      <c r="IA246" s="68"/>
      <c r="IB246" s="68"/>
      <c r="IC246" s="68"/>
      <c r="ID246" s="68"/>
      <c r="IE246" s="68"/>
      <c r="IF246" s="68"/>
      <c r="IG246" s="68"/>
      <c r="IH246" s="68"/>
      <c r="II246" s="68"/>
      <c r="IJ246" s="68"/>
      <c r="IK246" s="68"/>
      <c r="IL246" s="68"/>
      <c r="IM246" s="68"/>
    </row>
    <row r="247" spans="1:247" x14ac:dyDescent="0.35">
      <c r="A247" s="244">
        <v>8432</v>
      </c>
      <c r="B247" s="233" t="s">
        <v>2232</v>
      </c>
      <c r="C247" s="186" t="s">
        <v>28</v>
      </c>
      <c r="D247" s="245" t="s">
        <v>1996</v>
      </c>
      <c r="E247" s="119"/>
      <c r="F247" s="75">
        <f t="shared" si="57"/>
        <v>1.0209999999999999</v>
      </c>
      <c r="G247" s="252"/>
      <c r="H247" s="119"/>
      <c r="I247" s="234"/>
      <c r="J247" s="234"/>
      <c r="K247" s="234"/>
      <c r="L247" s="234"/>
      <c r="M247" s="234"/>
      <c r="N247" s="252"/>
      <c r="O247" s="80"/>
      <c r="P247" s="119">
        <f t="shared" si="62"/>
        <v>1.032</v>
      </c>
      <c r="Q247" s="252">
        <f t="shared" si="63"/>
        <v>1.0349999999999999</v>
      </c>
      <c r="R247" s="81">
        <f t="shared" si="58"/>
        <v>1.0905505199999999</v>
      </c>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row>
    <row r="248" spans="1:247" x14ac:dyDescent="0.35">
      <c r="A248" s="244">
        <v>8441</v>
      </c>
      <c r="B248" s="233" t="s">
        <v>2233</v>
      </c>
      <c r="C248" s="186" t="s">
        <v>1751</v>
      </c>
      <c r="D248" s="245" t="s">
        <v>1993</v>
      </c>
      <c r="E248" s="119"/>
      <c r="F248" s="75">
        <f t="shared" si="57"/>
        <v>1.0209999999999999</v>
      </c>
      <c r="G248" s="252"/>
      <c r="H248" s="119"/>
      <c r="I248" s="234"/>
      <c r="J248" s="234"/>
      <c r="K248" s="234"/>
      <c r="L248" s="234"/>
      <c r="M248" s="234"/>
      <c r="N248" s="252"/>
      <c r="O248" s="80"/>
      <c r="P248" s="119">
        <f t="shared" si="62"/>
        <v>1.032</v>
      </c>
      <c r="Q248" s="252">
        <f t="shared" si="63"/>
        <v>1.0349999999999999</v>
      </c>
      <c r="R248" s="81">
        <f t="shared" si="58"/>
        <v>1.0905505199999999</v>
      </c>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c r="HI248" s="68"/>
      <c r="HJ248" s="68"/>
      <c r="HK248" s="68"/>
      <c r="HL248" s="68"/>
      <c r="HM248" s="68"/>
      <c r="HN248" s="68"/>
      <c r="HO248" s="68"/>
      <c r="HP248" s="68"/>
      <c r="HQ248" s="68"/>
      <c r="HR248" s="68"/>
      <c r="HS248" s="68"/>
      <c r="HT248" s="68"/>
      <c r="HU248" s="68"/>
      <c r="HV248" s="68"/>
      <c r="HW248" s="68"/>
      <c r="HX248" s="68"/>
      <c r="HY248" s="68"/>
      <c r="HZ248" s="68"/>
      <c r="IA248" s="68"/>
      <c r="IB248" s="68"/>
      <c r="IC248" s="68"/>
      <c r="ID248" s="68"/>
      <c r="IE248" s="68"/>
      <c r="IF248" s="68"/>
      <c r="IG248" s="68"/>
      <c r="IH248" s="68"/>
      <c r="II248" s="68"/>
      <c r="IJ248" s="68"/>
      <c r="IK248" s="68"/>
      <c r="IL248" s="68"/>
      <c r="IM248" s="68"/>
    </row>
    <row r="249" spans="1:247" x14ac:dyDescent="0.35">
      <c r="A249" s="244">
        <v>8442</v>
      </c>
      <c r="B249" s="233" t="s">
        <v>2234</v>
      </c>
      <c r="C249" s="186" t="s">
        <v>113</v>
      </c>
      <c r="D249" s="245" t="s">
        <v>1993</v>
      </c>
      <c r="E249" s="119"/>
      <c r="F249" s="75">
        <f t="shared" si="57"/>
        <v>1.0209999999999999</v>
      </c>
      <c r="G249" s="252"/>
      <c r="H249" s="119"/>
      <c r="I249" s="234"/>
      <c r="J249" s="234"/>
      <c r="K249" s="234"/>
      <c r="L249" s="234"/>
      <c r="M249" s="234"/>
      <c r="N249" s="252"/>
      <c r="O249" s="80"/>
      <c r="P249" s="119">
        <f t="shared" si="62"/>
        <v>1.032</v>
      </c>
      <c r="Q249" s="252">
        <f t="shared" si="63"/>
        <v>1.0349999999999999</v>
      </c>
      <c r="R249" s="81">
        <f t="shared" si="58"/>
        <v>1.0905505199999999</v>
      </c>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row>
    <row r="250" spans="1:247" x14ac:dyDescent="0.35">
      <c r="A250" s="244">
        <v>8511</v>
      </c>
      <c r="B250" s="233" t="s">
        <v>2235</v>
      </c>
      <c r="C250" s="186" t="s">
        <v>4</v>
      </c>
      <c r="D250" s="245" t="s">
        <v>1996</v>
      </c>
      <c r="E250" s="119"/>
      <c r="F250" s="75">
        <f t="shared" si="57"/>
        <v>1.0209999999999999</v>
      </c>
      <c r="G250" s="252">
        <f>+$G$3</f>
        <v>1.0269999999999999</v>
      </c>
      <c r="H250" s="119"/>
      <c r="I250" s="234"/>
      <c r="J250" s="234"/>
      <c r="K250" s="234"/>
      <c r="L250" s="234"/>
      <c r="M250" s="234"/>
      <c r="N250" s="252"/>
      <c r="O250" s="80"/>
      <c r="P250" s="119">
        <f t="shared" si="62"/>
        <v>1.032</v>
      </c>
      <c r="Q250" s="252">
        <f t="shared" si="63"/>
        <v>1.0349999999999999</v>
      </c>
      <c r="R250" s="81">
        <f t="shared" si="58"/>
        <v>1.1199953840399997</v>
      </c>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c r="HI250" s="68"/>
      <c r="HJ250" s="68"/>
      <c r="HK250" s="68"/>
      <c r="HL250" s="68"/>
      <c r="HM250" s="68"/>
      <c r="HN250" s="68"/>
      <c r="HO250" s="68"/>
      <c r="HP250" s="68"/>
      <c r="HQ250" s="68"/>
      <c r="HR250" s="68"/>
      <c r="HS250" s="68"/>
      <c r="HT250" s="68"/>
      <c r="HU250" s="68"/>
      <c r="HV250" s="68"/>
      <c r="HW250" s="68"/>
      <c r="HX250" s="68"/>
      <c r="HY250" s="68"/>
      <c r="HZ250" s="68"/>
      <c r="IA250" s="68"/>
      <c r="IB250" s="68"/>
      <c r="IC250" s="68"/>
      <c r="ID250" s="68"/>
      <c r="IE250" s="68"/>
      <c r="IF250" s="68"/>
      <c r="IG250" s="68"/>
      <c r="IH250" s="68"/>
      <c r="II250" s="68"/>
      <c r="IJ250" s="68"/>
      <c r="IK250" s="68"/>
      <c r="IL250" s="68"/>
      <c r="IM250" s="68"/>
    </row>
    <row r="251" spans="1:247" x14ac:dyDescent="0.35">
      <c r="A251" s="244">
        <v>8513</v>
      </c>
      <c r="B251" s="233" t="s">
        <v>2236</v>
      </c>
      <c r="C251" s="186" t="s">
        <v>4</v>
      </c>
      <c r="D251" s="245" t="s">
        <v>1993</v>
      </c>
      <c r="E251" s="119"/>
      <c r="F251" s="75">
        <f t="shared" si="57"/>
        <v>1.0209999999999999</v>
      </c>
      <c r="G251" s="252">
        <f>+$G$3</f>
        <v>1.0269999999999999</v>
      </c>
      <c r="H251" s="119"/>
      <c r="I251" s="234"/>
      <c r="J251" s="234"/>
      <c r="K251" s="234"/>
      <c r="L251" s="234"/>
      <c r="M251" s="234"/>
      <c r="N251" s="252"/>
      <c r="O251" s="80"/>
      <c r="P251" s="119">
        <f t="shared" si="62"/>
        <v>1.032</v>
      </c>
      <c r="Q251" s="252">
        <f t="shared" si="63"/>
        <v>1.0349999999999999</v>
      </c>
      <c r="R251" s="81">
        <f t="shared" si="58"/>
        <v>1.1199953840399997</v>
      </c>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c r="HI251" s="68"/>
      <c r="HJ251" s="68"/>
      <c r="HK251" s="68"/>
      <c r="HL251" s="68"/>
      <c r="HM251" s="68"/>
      <c r="HN251" s="68"/>
      <c r="HO251" s="68"/>
      <c r="HP251" s="68"/>
      <c r="HQ251" s="68"/>
      <c r="HR251" s="68"/>
      <c r="HS251" s="68"/>
      <c r="HT251" s="68"/>
      <c r="HU251" s="68"/>
      <c r="HV251" s="68"/>
      <c r="HW251" s="68"/>
      <c r="HX251" s="68"/>
      <c r="HY251" s="68"/>
      <c r="HZ251" s="68"/>
      <c r="IA251" s="68"/>
      <c r="IB251" s="68"/>
      <c r="IC251" s="68"/>
      <c r="ID251" s="68"/>
      <c r="IE251" s="68"/>
      <c r="IF251" s="68"/>
      <c r="IG251" s="68"/>
      <c r="IH251" s="68"/>
      <c r="II251" s="68"/>
      <c r="IJ251" s="68"/>
      <c r="IK251" s="68"/>
      <c r="IL251" s="68"/>
      <c r="IM251" s="68"/>
    </row>
    <row r="252" spans="1:247" x14ac:dyDescent="0.35">
      <c r="A252" s="244">
        <v>8514</v>
      </c>
      <c r="B252" s="233" t="s">
        <v>2237</v>
      </c>
      <c r="C252" s="186" t="s">
        <v>28</v>
      </c>
      <c r="D252" s="245" t="s">
        <v>1996</v>
      </c>
      <c r="E252" s="119"/>
      <c r="F252" s="75">
        <f t="shared" si="57"/>
        <v>1.0209999999999999</v>
      </c>
      <c r="G252" s="252">
        <f>+$G$3</f>
        <v>1.0269999999999999</v>
      </c>
      <c r="H252" s="119"/>
      <c r="I252" s="234"/>
      <c r="J252" s="234"/>
      <c r="K252" s="234"/>
      <c r="L252" s="234"/>
      <c r="M252" s="234"/>
      <c r="N252" s="252"/>
      <c r="O252" s="80"/>
      <c r="P252" s="119">
        <f t="shared" si="62"/>
        <v>1.032</v>
      </c>
      <c r="Q252" s="252">
        <f t="shared" si="63"/>
        <v>1.0349999999999999</v>
      </c>
      <c r="R252" s="81">
        <f t="shared" si="58"/>
        <v>1.1199953840399997</v>
      </c>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c r="HI252" s="68"/>
      <c r="HJ252" s="68"/>
      <c r="HK252" s="68"/>
      <c r="HL252" s="68"/>
      <c r="HM252" s="68"/>
      <c r="HN252" s="68"/>
      <c r="HO252" s="68"/>
      <c r="HP252" s="68"/>
      <c r="HQ252" s="68"/>
      <c r="HR252" s="68"/>
      <c r="HS252" s="68"/>
      <c r="HT252" s="68"/>
      <c r="HU252" s="68"/>
      <c r="HV252" s="68"/>
      <c r="HW252" s="68"/>
      <c r="HX252" s="68"/>
      <c r="HY252" s="68"/>
      <c r="HZ252" s="68"/>
      <c r="IA252" s="68"/>
      <c r="IB252" s="68"/>
      <c r="IC252" s="68"/>
      <c r="ID252" s="68"/>
      <c r="IE252" s="68"/>
      <c r="IF252" s="68"/>
      <c r="IG252" s="68"/>
      <c r="IH252" s="68"/>
      <c r="II252" s="68"/>
      <c r="IJ252" s="68"/>
      <c r="IK252" s="68"/>
      <c r="IL252" s="68"/>
      <c r="IM252" s="68"/>
    </row>
    <row r="253" spans="1:247" x14ac:dyDescent="0.35">
      <c r="A253" s="244">
        <v>8521</v>
      </c>
      <c r="B253" s="233" t="s">
        <v>2238</v>
      </c>
      <c r="C253" s="186" t="s">
        <v>4</v>
      </c>
      <c r="D253" s="245" t="s">
        <v>1996</v>
      </c>
      <c r="E253" s="119"/>
      <c r="F253" s="75">
        <f t="shared" si="57"/>
        <v>1.0209999999999999</v>
      </c>
      <c r="G253" s="252">
        <f>+$G$3</f>
        <v>1.0269999999999999</v>
      </c>
      <c r="H253" s="119"/>
      <c r="I253" s="234"/>
      <c r="J253" s="234"/>
      <c r="K253" s="234"/>
      <c r="L253" s="234"/>
      <c r="M253" s="234"/>
      <c r="N253" s="252"/>
      <c r="O253" s="80"/>
      <c r="P253" s="119">
        <f t="shared" si="62"/>
        <v>1.032</v>
      </c>
      <c r="Q253" s="252">
        <f t="shared" si="63"/>
        <v>1.0349999999999999</v>
      </c>
      <c r="R253" s="81">
        <f t="shared" si="58"/>
        <v>1.1199953840399997</v>
      </c>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row>
    <row r="254" spans="1:247" x14ac:dyDescent="0.35">
      <c r="A254" s="244">
        <v>8522</v>
      </c>
      <c r="B254" s="233" t="s">
        <v>2239</v>
      </c>
      <c r="C254" s="186" t="s">
        <v>4</v>
      </c>
      <c r="D254" s="245" t="s">
        <v>1996</v>
      </c>
      <c r="E254" s="119"/>
      <c r="F254" s="75">
        <f t="shared" si="57"/>
        <v>1.0209999999999999</v>
      </c>
      <c r="G254" s="252"/>
      <c r="H254" s="119"/>
      <c r="I254" s="234"/>
      <c r="J254" s="234"/>
      <c r="K254" s="234"/>
      <c r="L254" s="234"/>
      <c r="M254" s="234"/>
      <c r="N254" s="252"/>
      <c r="O254" s="80"/>
      <c r="P254" s="119"/>
      <c r="Q254" s="252"/>
      <c r="R254" s="81">
        <f t="shared" si="58"/>
        <v>1.0209999999999999</v>
      </c>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c r="HI254" s="68"/>
      <c r="HJ254" s="68"/>
      <c r="HK254" s="68"/>
      <c r="HL254" s="68"/>
      <c r="HM254" s="68"/>
      <c r="HN254" s="68"/>
      <c r="HO254" s="68"/>
      <c r="HP254" s="68"/>
      <c r="HQ254" s="68"/>
      <c r="HR254" s="68"/>
      <c r="HS254" s="68"/>
      <c r="HT254" s="68"/>
      <c r="HU254" s="68"/>
      <c r="HV254" s="68"/>
      <c r="HW254" s="68"/>
      <c r="HX254" s="68"/>
      <c r="HY254" s="68"/>
      <c r="HZ254" s="68"/>
      <c r="IA254" s="68"/>
      <c r="IB254" s="68"/>
      <c r="IC254" s="68"/>
      <c r="ID254" s="68"/>
      <c r="IE254" s="68"/>
      <c r="IF254" s="68"/>
      <c r="IG254" s="68"/>
      <c r="IH254" s="68"/>
      <c r="II254" s="68"/>
      <c r="IJ254" s="68"/>
      <c r="IK254" s="68"/>
      <c r="IL254" s="68"/>
      <c r="IM254" s="68"/>
    </row>
    <row r="255" spans="1:247" x14ac:dyDescent="0.35">
      <c r="A255" s="244">
        <v>8523</v>
      </c>
      <c r="B255" s="233" t="s">
        <v>2240</v>
      </c>
      <c r="C255" s="186" t="s">
        <v>4</v>
      </c>
      <c r="D255" s="245" t="s">
        <v>1996</v>
      </c>
      <c r="E255" s="119"/>
      <c r="F255" s="75">
        <f t="shared" si="57"/>
        <v>1.0209999999999999</v>
      </c>
      <c r="G255" s="252">
        <f>+$G$3</f>
        <v>1.0269999999999999</v>
      </c>
      <c r="H255" s="119"/>
      <c r="I255" s="234"/>
      <c r="J255" s="234"/>
      <c r="K255" s="234"/>
      <c r="L255" s="234"/>
      <c r="M255" s="234"/>
      <c r="N255" s="252"/>
      <c r="O255" s="80"/>
      <c r="P255" s="119">
        <f>+$P$3</f>
        <v>1.032</v>
      </c>
      <c r="Q255" s="252">
        <f>+$Q$3</f>
        <v>1.0349999999999999</v>
      </c>
      <c r="R255" s="81">
        <f t="shared" si="58"/>
        <v>1.1199953840399997</v>
      </c>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c r="HI255" s="68"/>
      <c r="HJ255" s="68"/>
      <c r="HK255" s="68"/>
      <c r="HL255" s="68"/>
      <c r="HM255" s="68"/>
      <c r="HN255" s="68"/>
      <c r="HO255" s="68"/>
      <c r="HP255" s="68"/>
      <c r="HQ255" s="68"/>
      <c r="HR255" s="68"/>
      <c r="HS255" s="68"/>
      <c r="HT255" s="68"/>
      <c r="HU255" s="68"/>
      <c r="HV255" s="68"/>
      <c r="HW255" s="68"/>
      <c r="HX255" s="68"/>
      <c r="HY255" s="68"/>
      <c r="HZ255" s="68"/>
      <c r="IA255" s="68"/>
      <c r="IB255" s="68"/>
      <c r="IC255" s="68"/>
      <c r="ID255" s="68"/>
      <c r="IE255" s="68"/>
      <c r="IF255" s="68"/>
      <c r="IG255" s="68"/>
      <c r="IH255" s="68"/>
      <c r="II255" s="68"/>
      <c r="IJ255" s="68"/>
      <c r="IK255" s="68"/>
      <c r="IL255" s="68"/>
      <c r="IM255" s="68"/>
    </row>
    <row r="256" spans="1:247" x14ac:dyDescent="0.35">
      <c r="A256" s="244">
        <v>8524</v>
      </c>
      <c r="B256" s="233" t="s">
        <v>2241</v>
      </c>
      <c r="C256" s="186" t="s">
        <v>4</v>
      </c>
      <c r="D256" s="245" t="s">
        <v>1993</v>
      </c>
      <c r="E256" s="119"/>
      <c r="F256" s="75">
        <f t="shared" si="57"/>
        <v>1.0209999999999999</v>
      </c>
      <c r="G256" s="252"/>
      <c r="H256" s="119"/>
      <c r="I256" s="234"/>
      <c r="J256" s="234"/>
      <c r="K256" s="234"/>
      <c r="L256" s="234"/>
      <c r="M256" s="234"/>
      <c r="N256" s="252"/>
      <c r="O256" s="80"/>
      <c r="P256" s="119"/>
      <c r="Q256" s="252"/>
      <c r="R256" s="81">
        <f t="shared" si="58"/>
        <v>1.0209999999999999</v>
      </c>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row>
    <row r="257" spans="1:247" x14ac:dyDescent="0.35">
      <c r="A257" s="244">
        <v>8525</v>
      </c>
      <c r="B257" s="233" t="s">
        <v>2242</v>
      </c>
      <c r="C257" s="186" t="s">
        <v>4</v>
      </c>
      <c r="D257" s="245" t="s">
        <v>1993</v>
      </c>
      <c r="E257" s="119"/>
      <c r="F257" s="75">
        <f t="shared" si="57"/>
        <v>1.0209999999999999</v>
      </c>
      <c r="G257" s="252"/>
      <c r="H257" s="119"/>
      <c r="I257" s="234"/>
      <c r="J257" s="234"/>
      <c r="K257" s="234"/>
      <c r="L257" s="234"/>
      <c r="M257" s="234"/>
      <c r="N257" s="252"/>
      <c r="O257" s="80"/>
      <c r="P257" s="119">
        <f t="shared" ref="P257:P263" si="64">+$P$3</f>
        <v>1.032</v>
      </c>
      <c r="Q257" s="252">
        <f t="shared" ref="Q257:Q263" si="65">+$Q$3</f>
        <v>1.0349999999999999</v>
      </c>
      <c r="R257" s="81">
        <f t="shared" si="58"/>
        <v>1.0905505199999999</v>
      </c>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c r="HI257" s="68"/>
      <c r="HJ257" s="68"/>
      <c r="HK257" s="68"/>
      <c r="HL257" s="68"/>
      <c r="HM257" s="68"/>
      <c r="HN257" s="68"/>
      <c r="HO257" s="68"/>
      <c r="HP257" s="68"/>
      <c r="HQ257" s="68"/>
      <c r="HR257" s="68"/>
      <c r="HS257" s="68"/>
      <c r="HT257" s="68"/>
      <c r="HU257" s="68"/>
      <c r="HV257" s="68"/>
      <c r="HW257" s="68"/>
      <c r="HX257" s="68"/>
      <c r="HY257" s="68"/>
      <c r="HZ257" s="68"/>
      <c r="IA257" s="68"/>
      <c r="IB257" s="68"/>
      <c r="IC257" s="68"/>
      <c r="ID257" s="68"/>
      <c r="IE257" s="68"/>
      <c r="IF257" s="68"/>
      <c r="IG257" s="68"/>
      <c r="IH257" s="68"/>
      <c r="II257" s="68"/>
      <c r="IJ257" s="68"/>
      <c r="IK257" s="68"/>
      <c r="IL257" s="68"/>
      <c r="IM257" s="68"/>
    </row>
    <row r="258" spans="1:247" x14ac:dyDescent="0.35">
      <c r="A258" s="244">
        <v>8526</v>
      </c>
      <c r="B258" s="233" t="s">
        <v>2243</v>
      </c>
      <c r="C258" s="186" t="s">
        <v>4</v>
      </c>
      <c r="D258" s="245" t="s">
        <v>1996</v>
      </c>
      <c r="E258" s="119"/>
      <c r="F258" s="75">
        <f t="shared" si="57"/>
        <v>1.0209999999999999</v>
      </c>
      <c r="G258" s="252"/>
      <c r="H258" s="119"/>
      <c r="I258" s="234"/>
      <c r="J258" s="234"/>
      <c r="K258" s="234"/>
      <c r="L258" s="234"/>
      <c r="M258" s="234"/>
      <c r="N258" s="252"/>
      <c r="O258" s="80"/>
      <c r="P258" s="119">
        <f t="shared" si="64"/>
        <v>1.032</v>
      </c>
      <c r="Q258" s="252">
        <f t="shared" si="65"/>
        <v>1.0349999999999999</v>
      </c>
      <c r="R258" s="81">
        <f t="shared" si="58"/>
        <v>1.0905505199999999</v>
      </c>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c r="HI258" s="68"/>
      <c r="HJ258" s="68"/>
      <c r="HK258" s="68"/>
      <c r="HL258" s="68"/>
      <c r="HM258" s="68"/>
      <c r="HN258" s="68"/>
      <c r="HO258" s="68"/>
      <c r="HP258" s="68"/>
      <c r="HQ258" s="68"/>
      <c r="HR258" s="68"/>
      <c r="HS258" s="68"/>
      <c r="HT258" s="68"/>
      <c r="HU258" s="68"/>
      <c r="HV258" s="68"/>
      <c r="HW258" s="68"/>
      <c r="HX258" s="68"/>
      <c r="HY258" s="68"/>
      <c r="HZ258" s="68"/>
      <c r="IA258" s="68"/>
      <c r="IB258" s="68"/>
      <c r="IC258" s="68"/>
      <c r="ID258" s="68"/>
      <c r="IE258" s="68"/>
      <c r="IF258" s="68"/>
      <c r="IG258" s="68"/>
      <c r="IH258" s="68"/>
      <c r="II258" s="68"/>
      <c r="IJ258" s="68"/>
      <c r="IK258" s="68"/>
      <c r="IL258" s="68"/>
      <c r="IM258" s="68"/>
    </row>
    <row r="259" spans="1:247" x14ac:dyDescent="0.35">
      <c r="A259" s="244">
        <v>8541</v>
      </c>
      <c r="B259" s="233" t="s">
        <v>2244</v>
      </c>
      <c r="C259" s="186" t="s">
        <v>40</v>
      </c>
      <c r="D259" s="245" t="s">
        <v>1993</v>
      </c>
      <c r="E259" s="119"/>
      <c r="F259" s="75">
        <f t="shared" si="57"/>
        <v>1.0209999999999999</v>
      </c>
      <c r="G259" s="252"/>
      <c r="H259" s="119"/>
      <c r="I259" s="234"/>
      <c r="J259" s="234"/>
      <c r="K259" s="234"/>
      <c r="L259" s="234"/>
      <c r="M259" s="234"/>
      <c r="N259" s="252"/>
      <c r="O259" s="80"/>
      <c r="P259" s="119">
        <f t="shared" si="64"/>
        <v>1.032</v>
      </c>
      <c r="Q259" s="252">
        <f t="shared" si="65"/>
        <v>1.0349999999999999</v>
      </c>
      <c r="R259" s="81">
        <f t="shared" si="58"/>
        <v>1.0905505199999999</v>
      </c>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c r="HI259" s="68"/>
      <c r="HJ259" s="68"/>
      <c r="HK259" s="68"/>
      <c r="HL259" s="68"/>
      <c r="HM259" s="68"/>
      <c r="HN259" s="68"/>
      <c r="HO259" s="68"/>
      <c r="HP259" s="68"/>
      <c r="HQ259" s="68"/>
      <c r="HR259" s="68"/>
      <c r="HS259" s="68"/>
      <c r="HT259" s="68"/>
      <c r="HU259" s="68"/>
      <c r="HV259" s="68"/>
      <c r="HW259" s="68"/>
      <c r="HX259" s="68"/>
      <c r="HY259" s="68"/>
      <c r="HZ259" s="68"/>
      <c r="IA259" s="68"/>
      <c r="IB259" s="68"/>
      <c r="IC259" s="68"/>
      <c r="ID259" s="68"/>
      <c r="IE259" s="68"/>
      <c r="IF259" s="68"/>
      <c r="IG259" s="68"/>
      <c r="IH259" s="68"/>
      <c r="II259" s="68"/>
      <c r="IJ259" s="68"/>
      <c r="IK259" s="68"/>
      <c r="IL259" s="68"/>
      <c r="IM259" s="68"/>
    </row>
    <row r="260" spans="1:247" x14ac:dyDescent="0.35">
      <c r="A260" s="244">
        <v>8601</v>
      </c>
      <c r="B260" s="233" t="s">
        <v>2245</v>
      </c>
      <c r="C260" s="186" t="s">
        <v>218</v>
      </c>
      <c r="D260" s="245" t="s">
        <v>1996</v>
      </c>
      <c r="E260" s="119"/>
      <c r="F260" s="75">
        <f t="shared" si="57"/>
        <v>1.0209999999999999</v>
      </c>
      <c r="G260" s="252">
        <f>+$G$3</f>
        <v>1.0269999999999999</v>
      </c>
      <c r="H260" s="119"/>
      <c r="I260" s="234"/>
      <c r="J260" s="234"/>
      <c r="K260" s="234"/>
      <c r="L260" s="234"/>
      <c r="M260" s="234"/>
      <c r="N260" s="252"/>
      <c r="O260" s="80"/>
      <c r="P260" s="119">
        <f t="shared" si="64"/>
        <v>1.032</v>
      </c>
      <c r="Q260" s="252">
        <f t="shared" si="65"/>
        <v>1.0349999999999999</v>
      </c>
      <c r="R260" s="81">
        <f t="shared" si="58"/>
        <v>1.1199953840399997</v>
      </c>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c r="HI260" s="68"/>
      <c r="HJ260" s="68"/>
      <c r="HK260" s="68"/>
      <c r="HL260" s="68"/>
      <c r="HM260" s="68"/>
      <c r="HN260" s="68"/>
      <c r="HO260" s="68"/>
      <c r="HP260" s="68"/>
      <c r="HQ260" s="68"/>
      <c r="HR260" s="68"/>
      <c r="HS260" s="68"/>
      <c r="HT260" s="68"/>
      <c r="HU260" s="68"/>
      <c r="HV260" s="68"/>
      <c r="HW260" s="68"/>
      <c r="HX260" s="68"/>
      <c r="HY260" s="68"/>
      <c r="HZ260" s="68"/>
      <c r="IA260" s="68"/>
      <c r="IB260" s="68"/>
      <c r="IC260" s="68"/>
      <c r="ID260" s="68"/>
      <c r="IE260" s="68"/>
      <c r="IF260" s="68"/>
      <c r="IG260" s="68"/>
      <c r="IH260" s="68"/>
      <c r="II260" s="68"/>
      <c r="IJ260" s="68"/>
      <c r="IK260" s="68"/>
      <c r="IL260" s="68"/>
      <c r="IM260" s="68"/>
    </row>
    <row r="261" spans="1:247" x14ac:dyDescent="0.35">
      <c r="A261" s="244">
        <v>8611</v>
      </c>
      <c r="B261" s="233" t="s">
        <v>2246</v>
      </c>
      <c r="C261" s="186" t="s">
        <v>28</v>
      </c>
      <c r="D261" s="245" t="s">
        <v>1993</v>
      </c>
      <c r="E261" s="119"/>
      <c r="F261" s="75">
        <f t="shared" si="57"/>
        <v>1.0209999999999999</v>
      </c>
      <c r="G261" s="252">
        <f>+$G$3</f>
        <v>1.0269999999999999</v>
      </c>
      <c r="H261" s="119"/>
      <c r="I261" s="234"/>
      <c r="J261" s="234"/>
      <c r="K261" s="234"/>
      <c r="L261" s="234"/>
      <c r="M261" s="234"/>
      <c r="N261" s="252"/>
      <c r="O261" s="80"/>
      <c r="P261" s="119">
        <f t="shared" si="64"/>
        <v>1.032</v>
      </c>
      <c r="Q261" s="252">
        <f t="shared" si="65"/>
        <v>1.0349999999999999</v>
      </c>
      <c r="R261" s="81">
        <f t="shared" si="58"/>
        <v>1.1199953840399997</v>
      </c>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c r="HI261" s="68"/>
      <c r="HJ261" s="68"/>
      <c r="HK261" s="68"/>
      <c r="HL261" s="68"/>
      <c r="HM261" s="68"/>
      <c r="HN261" s="68"/>
      <c r="HO261" s="68"/>
      <c r="HP261" s="68"/>
      <c r="HQ261" s="68"/>
      <c r="HR261" s="68"/>
      <c r="HS261" s="68"/>
      <c r="HT261" s="68"/>
      <c r="HU261" s="68"/>
      <c r="HV261" s="68"/>
      <c r="HW261" s="68"/>
      <c r="HX261" s="68"/>
      <c r="HY261" s="68"/>
      <c r="HZ261" s="68"/>
      <c r="IA261" s="68"/>
      <c r="IB261" s="68"/>
      <c r="IC261" s="68"/>
      <c r="ID261" s="68"/>
      <c r="IE261" s="68"/>
      <c r="IF261" s="68"/>
      <c r="IG261" s="68"/>
      <c r="IH261" s="68"/>
      <c r="II261" s="68"/>
      <c r="IJ261" s="68"/>
      <c r="IK261" s="68"/>
      <c r="IL261" s="68"/>
      <c r="IM261" s="68"/>
    </row>
    <row r="262" spans="1:247" x14ac:dyDescent="0.35">
      <c r="A262" s="244">
        <v>8612</v>
      </c>
      <c r="B262" s="233" t="s">
        <v>2247</v>
      </c>
      <c r="C262" s="186" t="s">
        <v>40</v>
      </c>
      <c r="D262" s="245" t="s">
        <v>1993</v>
      </c>
      <c r="E262" s="119"/>
      <c r="F262" s="75">
        <f t="shared" si="57"/>
        <v>1.0209999999999999</v>
      </c>
      <c r="G262" s="252"/>
      <c r="H262" s="119"/>
      <c r="I262" s="234"/>
      <c r="J262" s="234"/>
      <c r="K262" s="234"/>
      <c r="L262" s="234"/>
      <c r="M262" s="234"/>
      <c r="N262" s="252"/>
      <c r="O262" s="80"/>
      <c r="P262" s="119">
        <f t="shared" si="64"/>
        <v>1.032</v>
      </c>
      <c r="Q262" s="252">
        <f t="shared" si="65"/>
        <v>1.0349999999999999</v>
      </c>
      <c r="R262" s="81">
        <f t="shared" si="58"/>
        <v>1.0905505199999999</v>
      </c>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c r="HI262" s="68"/>
      <c r="HJ262" s="68"/>
      <c r="HK262" s="68"/>
      <c r="HL262" s="68"/>
      <c r="HM262" s="68"/>
      <c r="HN262" s="68"/>
      <c r="HO262" s="68"/>
      <c r="HP262" s="68"/>
      <c r="HQ262" s="68"/>
      <c r="HR262" s="68"/>
      <c r="HS262" s="68"/>
      <c r="HT262" s="68"/>
      <c r="HU262" s="68"/>
      <c r="HV262" s="68"/>
      <c r="HW262" s="68"/>
      <c r="HX262" s="68"/>
      <c r="HY262" s="68"/>
      <c r="HZ262" s="68"/>
      <c r="IA262" s="68"/>
      <c r="IB262" s="68"/>
      <c r="IC262" s="68"/>
      <c r="ID262" s="68"/>
      <c r="IE262" s="68"/>
      <c r="IF262" s="68"/>
      <c r="IG262" s="68"/>
      <c r="IH262" s="68"/>
      <c r="II262" s="68"/>
      <c r="IJ262" s="68"/>
      <c r="IK262" s="68"/>
      <c r="IL262" s="68"/>
      <c r="IM262" s="68"/>
    </row>
    <row r="263" spans="1:247" x14ac:dyDescent="0.35">
      <c r="A263" s="244">
        <v>8711</v>
      </c>
      <c r="B263" s="233" t="s">
        <v>2248</v>
      </c>
      <c r="C263" s="186" t="s">
        <v>28</v>
      </c>
      <c r="D263" s="245" t="s">
        <v>1996</v>
      </c>
      <c r="E263" s="119"/>
      <c r="F263" s="75">
        <f t="shared" si="57"/>
        <v>1.0209999999999999</v>
      </c>
      <c r="G263" s="252"/>
      <c r="H263" s="119"/>
      <c r="I263" s="234"/>
      <c r="J263" s="234"/>
      <c r="K263" s="234"/>
      <c r="L263" s="234"/>
      <c r="M263" s="234"/>
      <c r="N263" s="252"/>
      <c r="O263" s="80"/>
      <c r="P263" s="119">
        <f t="shared" si="64"/>
        <v>1.032</v>
      </c>
      <c r="Q263" s="252">
        <f t="shared" si="65"/>
        <v>1.0349999999999999</v>
      </c>
      <c r="R263" s="81">
        <f t="shared" si="58"/>
        <v>1.0905505199999999</v>
      </c>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c r="HI263" s="68"/>
      <c r="HJ263" s="68"/>
      <c r="HK263" s="68"/>
      <c r="HL263" s="68"/>
      <c r="HM263" s="68"/>
      <c r="HN263" s="68"/>
      <c r="HO263" s="68"/>
      <c r="HP263" s="68"/>
      <c r="HQ263" s="68"/>
      <c r="HR263" s="68"/>
      <c r="HS263" s="68"/>
      <c r="HT263" s="68"/>
      <c r="HU263" s="68"/>
      <c r="HV263" s="68"/>
      <c r="HW263" s="68"/>
      <c r="HX263" s="68"/>
      <c r="HY263" s="68"/>
      <c r="HZ263" s="68"/>
      <c r="IA263" s="68"/>
      <c r="IB263" s="68"/>
      <c r="IC263" s="68"/>
      <c r="ID263" s="68"/>
      <c r="IE263" s="68"/>
      <c r="IF263" s="68"/>
      <c r="IG263" s="68"/>
      <c r="IH263" s="68"/>
      <c r="II263" s="68"/>
      <c r="IJ263" s="68"/>
      <c r="IK263" s="68"/>
      <c r="IL263" s="68"/>
      <c r="IM263" s="68"/>
    </row>
    <row r="264" spans="1:247" x14ac:dyDescent="0.35">
      <c r="A264" s="244">
        <v>8712</v>
      </c>
      <c r="B264" s="233" t="s">
        <v>2249</v>
      </c>
      <c r="C264" s="186" t="s">
        <v>28</v>
      </c>
      <c r="D264" s="245" t="s">
        <v>1993</v>
      </c>
      <c r="E264" s="119"/>
      <c r="F264" s="75">
        <f t="shared" si="57"/>
        <v>1.0209999999999999</v>
      </c>
      <c r="G264" s="252"/>
      <c r="H264" s="119"/>
      <c r="I264" s="234"/>
      <c r="J264" s="234"/>
      <c r="K264" s="234"/>
      <c r="L264" s="234"/>
      <c r="M264" s="234"/>
      <c r="N264" s="252"/>
      <c r="O264" s="80"/>
      <c r="P264" s="119"/>
      <c r="Q264" s="252"/>
      <c r="R264" s="81">
        <f t="shared" si="58"/>
        <v>1.0209999999999999</v>
      </c>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c r="HI264" s="68"/>
      <c r="HJ264" s="68"/>
      <c r="HK264" s="68"/>
      <c r="HL264" s="68"/>
      <c r="HM264" s="68"/>
      <c r="HN264" s="68"/>
      <c r="HO264" s="68"/>
      <c r="HP264" s="68"/>
      <c r="HQ264" s="68"/>
      <c r="HR264" s="68"/>
      <c r="HS264" s="68"/>
      <c r="HT264" s="68"/>
      <c r="HU264" s="68"/>
      <c r="HV264" s="68"/>
      <c r="HW264" s="68"/>
      <c r="HX264" s="68"/>
      <c r="HY264" s="68"/>
      <c r="HZ264" s="68"/>
      <c r="IA264" s="68"/>
      <c r="IB264" s="68"/>
      <c r="IC264" s="68"/>
      <c r="ID264" s="68"/>
      <c r="IE264" s="68"/>
      <c r="IF264" s="68"/>
      <c r="IG264" s="68"/>
      <c r="IH264" s="68"/>
      <c r="II264" s="68"/>
      <c r="IJ264" s="68"/>
      <c r="IK264" s="68"/>
      <c r="IL264" s="68"/>
      <c r="IM264" s="68"/>
    </row>
    <row r="265" spans="1:247" x14ac:dyDescent="0.35">
      <c r="A265" s="244">
        <v>8714</v>
      </c>
      <c r="B265" s="233" t="s">
        <v>2250</v>
      </c>
      <c r="C265" s="186" t="s">
        <v>28</v>
      </c>
      <c r="D265" s="245" t="s">
        <v>1993</v>
      </c>
      <c r="E265" s="119"/>
      <c r="F265" s="75">
        <f t="shared" si="57"/>
        <v>1.0209999999999999</v>
      </c>
      <c r="G265" s="252"/>
      <c r="H265" s="119"/>
      <c r="I265" s="234"/>
      <c r="J265" s="234"/>
      <c r="K265" s="234"/>
      <c r="L265" s="234"/>
      <c r="M265" s="234"/>
      <c r="N265" s="252"/>
      <c r="O265" s="80"/>
      <c r="P265" s="119"/>
      <c r="Q265" s="252"/>
      <c r="R265" s="81">
        <f>PRODUCT(E265:Q265)</f>
        <v>1.0209999999999999</v>
      </c>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c r="HI265" s="68"/>
      <c r="HJ265" s="68"/>
      <c r="HK265" s="68"/>
      <c r="HL265" s="68"/>
      <c r="HM265" s="68"/>
      <c r="HN265" s="68"/>
      <c r="HO265" s="68"/>
      <c r="HP265" s="68"/>
      <c r="HQ265" s="68"/>
      <c r="HR265" s="68"/>
      <c r="HS265" s="68"/>
      <c r="HT265" s="68"/>
      <c r="HU265" s="68"/>
      <c r="HV265" s="68"/>
      <c r="HW265" s="68"/>
      <c r="HX265" s="68"/>
      <c r="HY265" s="68"/>
      <c r="HZ265" s="68"/>
      <c r="IA265" s="68"/>
      <c r="IB265" s="68"/>
      <c r="IC265" s="68"/>
      <c r="ID265" s="68"/>
      <c r="IE265" s="68"/>
      <c r="IF265" s="68"/>
      <c r="IG265" s="68"/>
      <c r="IH265" s="68"/>
      <c r="II265" s="68"/>
      <c r="IJ265" s="68"/>
      <c r="IK265" s="68"/>
      <c r="IL265" s="68"/>
      <c r="IM265" s="68"/>
    </row>
    <row r="266" spans="1:247" x14ac:dyDescent="0.35">
      <c r="A266" s="244">
        <v>8716</v>
      </c>
      <c r="B266" s="233" t="s">
        <v>2251</v>
      </c>
      <c r="C266" s="186" t="s">
        <v>4</v>
      </c>
      <c r="D266" s="245" t="s">
        <v>1993</v>
      </c>
      <c r="E266" s="119"/>
      <c r="F266" s="75">
        <f t="shared" si="57"/>
        <v>1.0209999999999999</v>
      </c>
      <c r="G266" s="252">
        <f>+$G$3</f>
        <v>1.0269999999999999</v>
      </c>
      <c r="H266" s="119"/>
      <c r="I266" s="234"/>
      <c r="J266" s="234"/>
      <c r="K266" s="234"/>
      <c r="L266" s="234"/>
      <c r="M266" s="234"/>
      <c r="N266" s="252"/>
      <c r="O266" s="80"/>
      <c r="P266" s="119"/>
      <c r="Q266" s="252"/>
      <c r="R266" s="81">
        <f>PRODUCT(E266:Q266)</f>
        <v>1.0485669999999998</v>
      </c>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c r="HI266" s="68"/>
      <c r="HJ266" s="68"/>
      <c r="HK266" s="68"/>
      <c r="HL266" s="68"/>
      <c r="HM266" s="68"/>
      <c r="HN266" s="68"/>
      <c r="HO266" s="68"/>
      <c r="HP266" s="68"/>
      <c r="HQ266" s="68"/>
      <c r="HR266" s="68"/>
      <c r="HS266" s="68"/>
      <c r="HT266" s="68"/>
      <c r="HU266" s="68"/>
      <c r="HV266" s="68"/>
      <c r="HW266" s="68"/>
      <c r="HX266" s="68"/>
      <c r="HY266" s="68"/>
      <c r="HZ266" s="68"/>
      <c r="IA266" s="68"/>
      <c r="IB266" s="68"/>
      <c r="IC266" s="68"/>
      <c r="ID266" s="68"/>
      <c r="IE266" s="68"/>
      <c r="IF266" s="68"/>
      <c r="IG266" s="68"/>
      <c r="IH266" s="68"/>
      <c r="II266" s="68"/>
      <c r="IJ266" s="68"/>
      <c r="IK266" s="68"/>
      <c r="IL266" s="68"/>
      <c r="IM266" s="68"/>
    </row>
    <row r="267" spans="1:247" x14ac:dyDescent="0.35">
      <c r="A267" s="244">
        <v>8717</v>
      </c>
      <c r="B267" s="233" t="s">
        <v>2252</v>
      </c>
      <c r="C267" s="186" t="s">
        <v>163</v>
      </c>
      <c r="D267" s="245" t="s">
        <v>1993</v>
      </c>
      <c r="E267" s="119"/>
      <c r="F267" s="75">
        <f t="shared" si="57"/>
        <v>1.0209999999999999</v>
      </c>
      <c r="G267" s="252">
        <f>+$G$3</f>
        <v>1.0269999999999999</v>
      </c>
      <c r="H267" s="119"/>
      <c r="I267" s="234"/>
      <c r="J267" s="234"/>
      <c r="K267" s="234"/>
      <c r="L267" s="234"/>
      <c r="M267" s="234"/>
      <c r="N267" s="252"/>
      <c r="O267" s="80"/>
      <c r="P267" s="119"/>
      <c r="Q267" s="252"/>
      <c r="R267" s="81">
        <f>PRODUCT(E267:Q267)</f>
        <v>1.0485669999999998</v>
      </c>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c r="HI267" s="68"/>
      <c r="HJ267" s="68"/>
      <c r="HK267" s="68"/>
      <c r="HL267" s="68"/>
      <c r="HM267" s="68"/>
      <c r="HN267" s="68"/>
      <c r="HO267" s="68"/>
      <c r="HP267" s="68"/>
      <c r="HQ267" s="68"/>
      <c r="HR267" s="68"/>
      <c r="HS267" s="68"/>
      <c r="HT267" s="68"/>
      <c r="HU267" s="68"/>
      <c r="HV267" s="68"/>
      <c r="HW267" s="68"/>
      <c r="HX267" s="68"/>
      <c r="HY267" s="68"/>
      <c r="HZ267" s="68"/>
      <c r="IA267" s="68"/>
      <c r="IB267" s="68"/>
      <c r="IC267" s="68"/>
      <c r="ID267" s="68"/>
      <c r="IE267" s="68"/>
      <c r="IF267" s="68"/>
      <c r="IG267" s="68"/>
      <c r="IH267" s="68"/>
      <c r="II267" s="68"/>
      <c r="IJ267" s="68"/>
      <c r="IK267" s="68"/>
      <c r="IL267" s="68"/>
      <c r="IM267" s="68"/>
    </row>
    <row r="268" spans="1:247" x14ac:dyDescent="0.35">
      <c r="A268" s="244">
        <v>8721</v>
      </c>
      <c r="B268" s="233" t="s">
        <v>2253</v>
      </c>
      <c r="C268" s="186" t="s">
        <v>28</v>
      </c>
      <c r="D268" s="245" t="s">
        <v>1996</v>
      </c>
      <c r="E268" s="119"/>
      <c r="F268" s="75">
        <f t="shared" si="57"/>
        <v>1.0209999999999999</v>
      </c>
      <c r="G268" s="252"/>
      <c r="H268" s="119"/>
      <c r="I268" s="234"/>
      <c r="J268" s="234"/>
      <c r="K268" s="234"/>
      <c r="L268" s="234"/>
      <c r="M268" s="234"/>
      <c r="N268" s="252"/>
      <c r="O268" s="80"/>
      <c r="P268" s="119">
        <f>+$P$3</f>
        <v>1.032</v>
      </c>
      <c r="Q268" s="252">
        <f>+$Q$3</f>
        <v>1.0349999999999999</v>
      </c>
      <c r="R268" s="81">
        <f t="shared" si="58"/>
        <v>1.0905505199999999</v>
      </c>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c r="HI268" s="68"/>
      <c r="HJ268" s="68"/>
      <c r="HK268" s="68"/>
      <c r="HL268" s="68"/>
      <c r="HM268" s="68"/>
      <c r="HN268" s="68"/>
      <c r="HO268" s="68"/>
      <c r="HP268" s="68"/>
      <c r="HQ268" s="68"/>
      <c r="HR268" s="68"/>
      <c r="HS268" s="68"/>
      <c r="HT268" s="68"/>
      <c r="HU268" s="68"/>
      <c r="HV268" s="68"/>
      <c r="HW268" s="68"/>
      <c r="HX268" s="68"/>
      <c r="HY268" s="68"/>
      <c r="HZ268" s="68"/>
      <c r="IA268" s="68"/>
      <c r="IB268" s="68"/>
      <c r="IC268" s="68"/>
      <c r="ID268" s="68"/>
      <c r="IE268" s="68"/>
      <c r="IF268" s="68"/>
      <c r="IG268" s="68"/>
      <c r="IH268" s="68"/>
      <c r="II268" s="68"/>
      <c r="IJ268" s="68"/>
      <c r="IK268" s="68"/>
      <c r="IL268" s="68"/>
      <c r="IM268" s="68"/>
    </row>
    <row r="269" spans="1:247" x14ac:dyDescent="0.35">
      <c r="A269" s="244">
        <v>8722</v>
      </c>
      <c r="B269" s="233" t="s">
        <v>2254</v>
      </c>
      <c r="C269" s="186" t="s">
        <v>28</v>
      </c>
      <c r="D269" s="245" t="s">
        <v>1996</v>
      </c>
      <c r="E269" s="119"/>
      <c r="F269" s="75">
        <f t="shared" si="57"/>
        <v>1.0209999999999999</v>
      </c>
      <c r="G269" s="252"/>
      <c r="H269" s="119"/>
      <c r="I269" s="234"/>
      <c r="J269" s="234"/>
      <c r="K269" s="234"/>
      <c r="L269" s="234"/>
      <c r="M269" s="234"/>
      <c r="N269" s="252"/>
      <c r="O269" s="80"/>
      <c r="P269" s="119">
        <f>+$P$3</f>
        <v>1.032</v>
      </c>
      <c r="Q269" s="252">
        <f>+$Q$3</f>
        <v>1.0349999999999999</v>
      </c>
      <c r="R269" s="81">
        <f t="shared" si="58"/>
        <v>1.0905505199999999</v>
      </c>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c r="HI269" s="68"/>
      <c r="HJ269" s="68"/>
      <c r="HK269" s="68"/>
      <c r="HL269" s="68"/>
      <c r="HM269" s="68"/>
      <c r="HN269" s="68"/>
      <c r="HO269" s="68"/>
      <c r="HP269" s="68"/>
      <c r="HQ269" s="68"/>
      <c r="HR269" s="68"/>
      <c r="HS269" s="68"/>
      <c r="HT269" s="68"/>
      <c r="HU269" s="68"/>
      <c r="HV269" s="68"/>
      <c r="HW269" s="68"/>
      <c r="HX269" s="68"/>
      <c r="HY269" s="68"/>
      <c r="HZ269" s="68"/>
      <c r="IA269" s="68"/>
      <c r="IB269" s="68"/>
      <c r="IC269" s="68"/>
      <c r="ID269" s="68"/>
      <c r="IE269" s="68"/>
      <c r="IF269" s="68"/>
      <c r="IG269" s="68"/>
      <c r="IH269" s="68"/>
      <c r="II269" s="68"/>
      <c r="IJ269" s="68"/>
      <c r="IK269" s="68"/>
      <c r="IL269" s="68"/>
      <c r="IM269" s="68"/>
    </row>
    <row r="270" spans="1:247" x14ac:dyDescent="0.35">
      <c r="A270" s="244">
        <v>8813</v>
      </c>
      <c r="B270" s="233" t="s">
        <v>2255</v>
      </c>
      <c r="C270" s="186" t="s">
        <v>28</v>
      </c>
      <c r="D270" s="245" t="s">
        <v>1996</v>
      </c>
      <c r="E270" s="119"/>
      <c r="F270" s="75">
        <f t="shared" si="57"/>
        <v>1.0209999999999999</v>
      </c>
      <c r="G270" s="252"/>
      <c r="H270" s="119"/>
      <c r="I270" s="234"/>
      <c r="J270" s="234"/>
      <c r="K270" s="234"/>
      <c r="L270" s="234"/>
      <c r="M270" s="234"/>
      <c r="N270" s="252"/>
      <c r="O270" s="80"/>
      <c r="P270" s="119">
        <f>+$P$3</f>
        <v>1.032</v>
      </c>
      <c r="Q270" s="252">
        <f>+$Q$3</f>
        <v>1.0349999999999999</v>
      </c>
      <c r="R270" s="81">
        <f>PRODUCT(E270:Q270)</f>
        <v>1.0905505199999999</v>
      </c>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c r="HI270" s="68"/>
      <c r="HJ270" s="68"/>
      <c r="HK270" s="68"/>
      <c r="HL270" s="68"/>
      <c r="HM270" s="68"/>
      <c r="HN270" s="68"/>
      <c r="HO270" s="68"/>
      <c r="HP270" s="68"/>
      <c r="HQ270" s="68"/>
      <c r="HR270" s="68"/>
      <c r="HS270" s="68"/>
      <c r="HT270" s="68"/>
      <c r="HU270" s="68"/>
      <c r="HV270" s="68"/>
      <c r="HW270" s="68"/>
      <c r="HX270" s="68"/>
      <c r="HY270" s="68"/>
      <c r="HZ270" s="68"/>
      <c r="IA270" s="68"/>
      <c r="IB270" s="68"/>
      <c r="IC270" s="68"/>
      <c r="ID270" s="68"/>
      <c r="IE270" s="68"/>
      <c r="IF270" s="68"/>
      <c r="IG270" s="68"/>
      <c r="IH270" s="68"/>
      <c r="II270" s="68"/>
      <c r="IJ270" s="68"/>
      <c r="IK270" s="68"/>
      <c r="IL270" s="68"/>
      <c r="IM270" s="68"/>
    </row>
    <row r="271" spans="1:247" x14ac:dyDescent="0.35">
      <c r="A271" s="244">
        <v>8822</v>
      </c>
      <c r="B271" s="284" t="s">
        <v>2431</v>
      </c>
      <c r="C271" s="271" t="s">
        <v>28</v>
      </c>
      <c r="D271" s="245" t="s">
        <v>1996</v>
      </c>
      <c r="E271" s="323"/>
      <c r="F271" s="75">
        <f t="shared" si="57"/>
        <v>1.0209999999999999</v>
      </c>
      <c r="G271" s="252">
        <f>+$G$3</f>
        <v>1.0269999999999999</v>
      </c>
      <c r="H271" s="323"/>
      <c r="I271" s="324"/>
      <c r="J271" s="324"/>
      <c r="K271" s="324"/>
      <c r="L271" s="324"/>
      <c r="M271" s="324"/>
      <c r="N271" s="252"/>
      <c r="O271" s="80"/>
      <c r="P271" s="323">
        <v>1.032</v>
      </c>
      <c r="Q271" s="252"/>
      <c r="R271" s="81">
        <f>PRODUCT(E271:Q271)</f>
        <v>1.0821211439999998</v>
      </c>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c r="HI271" s="68"/>
      <c r="HJ271" s="68"/>
      <c r="HK271" s="68"/>
      <c r="HL271" s="68"/>
      <c r="HM271" s="68"/>
      <c r="HN271" s="68"/>
      <c r="HO271" s="68"/>
      <c r="HP271" s="68"/>
      <c r="HQ271" s="68"/>
      <c r="HR271" s="68"/>
      <c r="HS271" s="68"/>
      <c r="HT271" s="68"/>
      <c r="HU271" s="68"/>
      <c r="HV271" s="68"/>
      <c r="HW271" s="68"/>
      <c r="HX271" s="68"/>
      <c r="HY271" s="68"/>
      <c r="HZ271" s="68"/>
      <c r="IA271" s="68"/>
      <c r="IB271" s="68"/>
      <c r="IC271" s="68"/>
      <c r="ID271" s="68"/>
      <c r="IE271" s="68"/>
      <c r="IF271" s="68"/>
      <c r="IG271" s="68"/>
      <c r="IH271" s="68"/>
      <c r="II271" s="68"/>
      <c r="IJ271" s="68"/>
      <c r="IK271" s="68"/>
      <c r="IL271" s="68"/>
      <c r="IM271" s="68"/>
    </row>
    <row r="272" spans="1:247" x14ac:dyDescent="0.35">
      <c r="A272" s="244">
        <v>8840</v>
      </c>
      <c r="B272" s="233" t="s">
        <v>2256</v>
      </c>
      <c r="C272" s="186" t="s">
        <v>40</v>
      </c>
      <c r="D272" s="245" t="s">
        <v>1993</v>
      </c>
      <c r="E272" s="119"/>
      <c r="F272" s="75">
        <v>1.0209999999999999</v>
      </c>
      <c r="G272" s="252"/>
      <c r="H272" s="119"/>
      <c r="I272" s="234"/>
      <c r="J272" s="234"/>
      <c r="K272" s="234"/>
      <c r="L272" s="234"/>
      <c r="M272" s="234"/>
      <c r="N272" s="252"/>
      <c r="O272" s="80"/>
      <c r="P272" s="119"/>
      <c r="Q272" s="252"/>
      <c r="R272" s="81">
        <f>PRODUCT(E272:Q272)</f>
        <v>1.0209999999999999</v>
      </c>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c r="HI272" s="68"/>
      <c r="HJ272" s="68"/>
      <c r="HK272" s="68"/>
      <c r="HL272" s="68"/>
      <c r="HM272" s="68"/>
      <c r="HN272" s="68"/>
      <c r="HO272" s="68"/>
      <c r="HP272" s="68"/>
      <c r="HQ272" s="68"/>
      <c r="HR272" s="68"/>
      <c r="HS272" s="68"/>
      <c r="HT272" s="68"/>
      <c r="HU272" s="68"/>
      <c r="HV272" s="68"/>
      <c r="HW272" s="68"/>
      <c r="HX272" s="68"/>
      <c r="HY272" s="68"/>
      <c r="HZ272" s="68"/>
      <c r="IA272" s="68"/>
      <c r="IB272" s="68"/>
      <c r="IC272" s="68"/>
      <c r="ID272" s="68"/>
      <c r="IE272" s="68"/>
      <c r="IF272" s="68"/>
      <c r="IG272" s="68"/>
      <c r="IH272" s="68"/>
      <c r="II272" s="68"/>
      <c r="IJ272" s="68"/>
      <c r="IK272" s="68"/>
      <c r="IL272" s="68"/>
      <c r="IM272" s="68"/>
    </row>
    <row r="273" spans="1:247" x14ac:dyDescent="0.35">
      <c r="A273" s="244">
        <v>8910</v>
      </c>
      <c r="B273" s="233" t="s">
        <v>2257</v>
      </c>
      <c r="C273" s="186" t="s">
        <v>108</v>
      </c>
      <c r="D273" s="245" t="s">
        <v>2001</v>
      </c>
      <c r="E273" s="119"/>
      <c r="F273" s="75">
        <f t="shared" si="57"/>
        <v>1.0209999999999999</v>
      </c>
      <c r="G273" s="252">
        <f>+$G$3</f>
        <v>1.0269999999999999</v>
      </c>
      <c r="H273" s="119">
        <f>+$H$3</f>
        <v>1.0029999999999999</v>
      </c>
      <c r="I273" s="234"/>
      <c r="J273" s="234">
        <f>+$J$3</f>
        <v>1.0049999999999999</v>
      </c>
      <c r="K273" s="234"/>
      <c r="L273" s="234"/>
      <c r="M273" s="234"/>
      <c r="N273" s="252">
        <f>+$N$3</f>
        <v>1.0029999999999999</v>
      </c>
      <c r="O273" s="80"/>
      <c r="P273" s="119">
        <f>+$P$3</f>
        <v>1.032</v>
      </c>
      <c r="Q273" s="252">
        <f>+$Q$3</f>
        <v>1.0349999999999999</v>
      </c>
      <c r="R273" s="81">
        <f t="shared" si="58"/>
        <v>1.1323590634842093</v>
      </c>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c r="HI273" s="68"/>
      <c r="HJ273" s="68"/>
      <c r="HK273" s="68"/>
      <c r="HL273" s="68"/>
      <c r="HM273" s="68"/>
      <c r="HN273" s="68"/>
      <c r="HO273" s="68"/>
      <c r="HP273" s="68"/>
      <c r="HQ273" s="68"/>
      <c r="HR273" s="68"/>
      <c r="HS273" s="68"/>
      <c r="HT273" s="68"/>
      <c r="HU273" s="68"/>
      <c r="HV273" s="68"/>
      <c r="HW273" s="68"/>
      <c r="HX273" s="68"/>
      <c r="HY273" s="68"/>
      <c r="HZ273" s="68"/>
      <c r="IA273" s="68"/>
      <c r="IB273" s="68"/>
      <c r="IC273" s="68"/>
      <c r="ID273" s="68"/>
      <c r="IE273" s="68"/>
      <c r="IF273" s="68"/>
      <c r="IG273" s="68"/>
      <c r="IH273" s="68"/>
      <c r="II273" s="68"/>
      <c r="IJ273" s="68"/>
      <c r="IK273" s="68"/>
      <c r="IL273" s="68"/>
      <c r="IM273" s="68"/>
    </row>
    <row r="274" spans="1:247" x14ac:dyDescent="0.35">
      <c r="A274" s="244">
        <v>8921</v>
      </c>
      <c r="B274" s="233" t="s">
        <v>2258</v>
      </c>
      <c r="C274" s="186" t="s">
        <v>40</v>
      </c>
      <c r="D274" s="245" t="s">
        <v>1993</v>
      </c>
      <c r="E274" s="119"/>
      <c r="F274" s="75">
        <f t="shared" si="57"/>
        <v>1.0209999999999999</v>
      </c>
      <c r="G274" s="252">
        <f>+$G$3</f>
        <v>1.0269999999999999</v>
      </c>
      <c r="H274" s="119"/>
      <c r="I274" s="234"/>
      <c r="J274" s="234"/>
      <c r="K274" s="234"/>
      <c r="L274" s="234"/>
      <c r="M274" s="234"/>
      <c r="N274" s="252"/>
      <c r="O274" s="80"/>
      <c r="P274" s="119">
        <f>+$P$3</f>
        <v>1.032</v>
      </c>
      <c r="Q274" s="252">
        <f>+$Q$3</f>
        <v>1.0349999999999999</v>
      </c>
      <c r="R274" s="81">
        <f t="shared" si="58"/>
        <v>1.1199953840399997</v>
      </c>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68"/>
      <c r="DT274" s="68"/>
      <c r="DU274" s="68"/>
      <c r="DV274" s="68"/>
      <c r="DW274" s="68"/>
      <c r="DX274" s="68"/>
      <c r="DY274" s="68"/>
      <c r="DZ274" s="68"/>
      <c r="EA274" s="68"/>
      <c r="EB274" s="68"/>
      <c r="EC274" s="68"/>
      <c r="ED274" s="68"/>
      <c r="EE274" s="68"/>
      <c r="EF274" s="68"/>
      <c r="EG274" s="68"/>
      <c r="EH274" s="68"/>
      <c r="EI274" s="68"/>
      <c r="EJ274" s="68"/>
      <c r="EK274" s="68"/>
      <c r="EL274" s="68"/>
      <c r="EM274" s="68"/>
      <c r="EN274" s="68"/>
      <c r="EO274" s="68"/>
      <c r="EP274" s="68"/>
      <c r="EQ274" s="68"/>
      <c r="ER274" s="68"/>
      <c r="ES274" s="68"/>
      <c r="ET274" s="68"/>
      <c r="EU274" s="68"/>
      <c r="EV274" s="68"/>
      <c r="EW274" s="68"/>
      <c r="EX274" s="68"/>
      <c r="EY274" s="68"/>
      <c r="EZ274" s="68"/>
      <c r="FA274" s="68"/>
      <c r="FB274" s="68"/>
      <c r="FC274" s="68"/>
      <c r="FD274" s="68"/>
      <c r="FE274" s="68"/>
      <c r="FF274" s="68"/>
      <c r="FG274" s="68"/>
      <c r="FH274" s="68"/>
      <c r="FI274" s="68"/>
      <c r="FJ274" s="68"/>
      <c r="FK274" s="68"/>
      <c r="FL274" s="68"/>
      <c r="FM274" s="68"/>
      <c r="FN274" s="68"/>
      <c r="FO274" s="68"/>
      <c r="FP274" s="68"/>
      <c r="FQ274" s="68"/>
      <c r="FR274" s="68"/>
      <c r="FS274" s="68"/>
      <c r="FT274" s="68"/>
      <c r="FU274" s="68"/>
      <c r="FV274" s="68"/>
      <c r="FW274" s="68"/>
      <c r="FX274" s="68"/>
      <c r="FY274" s="68"/>
      <c r="FZ274" s="68"/>
      <c r="GA274" s="68"/>
      <c r="GB274" s="68"/>
      <c r="GC274" s="68"/>
      <c r="GD274" s="68"/>
      <c r="GE274" s="68"/>
      <c r="GF274" s="68"/>
      <c r="GG274" s="68"/>
      <c r="GH274" s="68"/>
      <c r="GI274" s="68"/>
      <c r="GJ274" s="68"/>
      <c r="GK274" s="68"/>
      <c r="GL274" s="68"/>
      <c r="GM274" s="68"/>
      <c r="GN274" s="68"/>
      <c r="GO274" s="68"/>
      <c r="GP274" s="68"/>
      <c r="GQ274" s="68"/>
      <c r="GR274" s="68"/>
      <c r="GS274" s="68"/>
      <c r="GT274" s="68"/>
      <c r="GU274" s="68"/>
      <c r="GV274" s="68"/>
      <c r="GW274" s="68"/>
      <c r="GX274" s="68"/>
      <c r="GY274" s="68"/>
      <c r="GZ274" s="68"/>
      <c r="HA274" s="68"/>
      <c r="HB274" s="68"/>
      <c r="HC274" s="68"/>
      <c r="HD274" s="68"/>
      <c r="HE274" s="68"/>
      <c r="HF274" s="68"/>
      <c r="HG274" s="68"/>
      <c r="HH274" s="68"/>
      <c r="HI274" s="68"/>
      <c r="HJ274" s="68"/>
      <c r="HK274" s="68"/>
      <c r="HL274" s="68"/>
      <c r="HM274" s="68"/>
      <c r="HN274" s="68"/>
      <c r="HO274" s="68"/>
      <c r="HP274" s="68"/>
      <c r="HQ274" s="68"/>
      <c r="HR274" s="68"/>
      <c r="HS274" s="68"/>
      <c r="HT274" s="68"/>
      <c r="HU274" s="68"/>
      <c r="HV274" s="68"/>
      <c r="HW274" s="68"/>
      <c r="HX274" s="68"/>
      <c r="HY274" s="68"/>
      <c r="HZ274" s="68"/>
      <c r="IA274" s="68"/>
      <c r="IB274" s="68"/>
      <c r="IC274" s="68"/>
      <c r="ID274" s="68"/>
      <c r="IE274" s="68"/>
      <c r="IF274" s="68"/>
      <c r="IG274" s="68"/>
      <c r="IH274" s="68"/>
      <c r="II274" s="68"/>
      <c r="IJ274" s="68"/>
      <c r="IK274" s="68"/>
      <c r="IL274" s="68"/>
      <c r="IM274" s="68"/>
    </row>
    <row r="275" spans="1:247" x14ac:dyDescent="0.35">
      <c r="A275" s="244">
        <v>8922</v>
      </c>
      <c r="B275" s="233" t="s">
        <v>2259</v>
      </c>
      <c r="C275" s="186" t="s">
        <v>40</v>
      </c>
      <c r="D275" s="245" t="s">
        <v>1993</v>
      </c>
      <c r="E275" s="119"/>
      <c r="F275" s="75">
        <f t="shared" si="57"/>
        <v>1.0209999999999999</v>
      </c>
      <c r="G275" s="252"/>
      <c r="H275" s="119"/>
      <c r="I275" s="234"/>
      <c r="J275" s="234"/>
      <c r="K275" s="234"/>
      <c r="L275" s="234"/>
      <c r="M275" s="234"/>
      <c r="N275" s="252"/>
      <c r="O275" s="80"/>
      <c r="P275" s="119"/>
      <c r="Q275" s="252"/>
      <c r="R275" s="81">
        <f t="shared" si="58"/>
        <v>1.0209999999999999</v>
      </c>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c r="HI275" s="68"/>
      <c r="HJ275" s="68"/>
      <c r="HK275" s="68"/>
      <c r="HL275" s="68"/>
      <c r="HM275" s="68"/>
      <c r="HN275" s="68"/>
      <c r="HO275" s="68"/>
      <c r="HP275" s="68"/>
      <c r="HQ275" s="68"/>
      <c r="HR275" s="68"/>
      <c r="HS275" s="68"/>
      <c r="HT275" s="68"/>
      <c r="HU275" s="68"/>
      <c r="HV275" s="68"/>
      <c r="HW275" s="68"/>
      <c r="HX275" s="68"/>
      <c r="HY275" s="68"/>
      <c r="HZ275" s="68"/>
      <c r="IA275" s="68"/>
      <c r="IB275" s="68"/>
      <c r="IC275" s="68"/>
      <c r="ID275" s="68"/>
      <c r="IE275" s="68"/>
      <c r="IF275" s="68"/>
      <c r="IG275" s="68"/>
      <c r="IH275" s="68"/>
      <c r="II275" s="68"/>
      <c r="IJ275" s="68"/>
      <c r="IK275" s="68"/>
      <c r="IL275" s="68"/>
      <c r="IM275" s="68"/>
    </row>
    <row r="276" spans="1:247" x14ac:dyDescent="0.35">
      <c r="A276" s="244">
        <v>8923</v>
      </c>
      <c r="B276" s="233" t="s">
        <v>2260</v>
      </c>
      <c r="C276" s="186" t="s">
        <v>40</v>
      </c>
      <c r="D276" s="245" t="s">
        <v>1993</v>
      </c>
      <c r="E276" s="119"/>
      <c r="F276" s="75">
        <f t="shared" si="57"/>
        <v>1.0209999999999999</v>
      </c>
      <c r="G276" s="252"/>
      <c r="H276" s="119"/>
      <c r="I276" s="234"/>
      <c r="J276" s="234"/>
      <c r="K276" s="234"/>
      <c r="L276" s="234"/>
      <c r="M276" s="234"/>
      <c r="N276" s="252">
        <f>+$N$3</f>
        <v>1.0029999999999999</v>
      </c>
      <c r="O276" s="80"/>
      <c r="P276" s="119"/>
      <c r="Q276" s="252"/>
      <c r="R276" s="81">
        <f t="shared" si="58"/>
        <v>1.0240629999999997</v>
      </c>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c r="HI276" s="68"/>
      <c r="HJ276" s="68"/>
      <c r="HK276" s="68"/>
      <c r="HL276" s="68"/>
      <c r="HM276" s="68"/>
      <c r="HN276" s="68"/>
      <c r="HO276" s="68"/>
      <c r="HP276" s="68"/>
      <c r="HQ276" s="68"/>
      <c r="HR276" s="68"/>
      <c r="HS276" s="68"/>
      <c r="HT276" s="68"/>
      <c r="HU276" s="68"/>
      <c r="HV276" s="68"/>
      <c r="HW276" s="68"/>
      <c r="HX276" s="68"/>
      <c r="HY276" s="68"/>
      <c r="HZ276" s="68"/>
      <c r="IA276" s="68"/>
      <c r="IB276" s="68"/>
      <c r="IC276" s="68"/>
      <c r="ID276" s="68"/>
      <c r="IE276" s="68"/>
      <c r="IF276" s="68"/>
      <c r="IG276" s="68"/>
      <c r="IH276" s="68"/>
      <c r="II276" s="68"/>
      <c r="IJ276" s="68"/>
      <c r="IK276" s="68"/>
      <c r="IL276" s="68"/>
      <c r="IM276" s="68"/>
    </row>
    <row r="277" spans="1:247" x14ac:dyDescent="0.35">
      <c r="A277" s="244">
        <v>8924</v>
      </c>
      <c r="B277" s="233" t="s">
        <v>2261</v>
      </c>
      <c r="C277" s="186" t="s">
        <v>40</v>
      </c>
      <c r="D277" s="245" t="s">
        <v>1993</v>
      </c>
      <c r="E277" s="119"/>
      <c r="F277" s="75">
        <f t="shared" si="57"/>
        <v>1.0209999999999999</v>
      </c>
      <c r="G277" s="252"/>
      <c r="H277" s="119"/>
      <c r="I277" s="234"/>
      <c r="J277" s="234"/>
      <c r="K277" s="234"/>
      <c r="L277" s="234"/>
      <c r="M277" s="234"/>
      <c r="N277" s="252">
        <f>+$N$3</f>
        <v>1.0029999999999999</v>
      </c>
      <c r="O277" s="80"/>
      <c r="P277" s="119"/>
      <c r="Q277" s="252"/>
      <c r="R277" s="81">
        <f t="shared" si="58"/>
        <v>1.0240629999999997</v>
      </c>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c r="HI277" s="68"/>
      <c r="HJ277" s="68"/>
      <c r="HK277" s="68"/>
      <c r="HL277" s="68"/>
      <c r="HM277" s="68"/>
      <c r="HN277" s="68"/>
      <c r="HO277" s="68"/>
      <c r="HP277" s="68"/>
      <c r="HQ277" s="68"/>
      <c r="HR277" s="68"/>
      <c r="HS277" s="68"/>
      <c r="HT277" s="68"/>
      <c r="HU277" s="68"/>
      <c r="HV277" s="68"/>
      <c r="HW277" s="68"/>
      <c r="HX277" s="68"/>
      <c r="HY277" s="68"/>
      <c r="HZ277" s="68"/>
      <c r="IA277" s="68"/>
      <c r="IB277" s="68"/>
      <c r="IC277" s="68"/>
      <c r="ID277" s="68"/>
      <c r="IE277" s="68"/>
      <c r="IF277" s="68"/>
      <c r="IG277" s="68"/>
      <c r="IH277" s="68"/>
      <c r="II277" s="68"/>
      <c r="IJ277" s="68"/>
      <c r="IK277" s="68"/>
      <c r="IL277" s="68"/>
      <c r="IM277" s="68"/>
    </row>
    <row r="278" spans="1:247" x14ac:dyDescent="0.35">
      <c r="A278" s="244">
        <v>8926</v>
      </c>
      <c r="B278" s="233" t="s">
        <v>2262</v>
      </c>
      <c r="C278" s="186" t="s">
        <v>40</v>
      </c>
      <c r="D278" s="245" t="s">
        <v>1993</v>
      </c>
      <c r="E278" s="119"/>
      <c r="F278" s="75">
        <f t="shared" si="57"/>
        <v>1.0209999999999999</v>
      </c>
      <c r="G278" s="252">
        <f>+$G$3</f>
        <v>1.0269999999999999</v>
      </c>
      <c r="H278" s="119"/>
      <c r="I278" s="234"/>
      <c r="J278" s="234"/>
      <c r="K278" s="234"/>
      <c r="L278" s="234"/>
      <c r="M278" s="234"/>
      <c r="N278" s="252">
        <f>+$N$3</f>
        <v>1.0029999999999999</v>
      </c>
      <c r="O278" s="80"/>
      <c r="P278" s="119"/>
      <c r="Q278" s="252"/>
      <c r="R278" s="81">
        <f t="shared" si="58"/>
        <v>1.0517127009999996</v>
      </c>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c r="GE278" s="68"/>
      <c r="GF278" s="68"/>
      <c r="GG278" s="68"/>
      <c r="GH278" s="68"/>
      <c r="GI278" s="68"/>
      <c r="GJ278" s="68"/>
      <c r="GK278" s="68"/>
      <c r="GL278" s="68"/>
      <c r="GM278" s="68"/>
      <c r="GN278" s="68"/>
      <c r="GO278" s="68"/>
      <c r="GP278" s="68"/>
      <c r="GQ278" s="68"/>
      <c r="GR278" s="68"/>
      <c r="GS278" s="68"/>
      <c r="GT278" s="68"/>
      <c r="GU278" s="68"/>
      <c r="GV278" s="68"/>
      <c r="GW278" s="68"/>
      <c r="GX278" s="68"/>
      <c r="GY278" s="68"/>
      <c r="GZ278" s="68"/>
      <c r="HA278" s="68"/>
      <c r="HB278" s="68"/>
      <c r="HC278" s="68"/>
      <c r="HD278" s="68"/>
      <c r="HE278" s="68"/>
      <c r="HF278" s="68"/>
      <c r="HG278" s="68"/>
      <c r="HH278" s="68"/>
      <c r="HI278" s="68"/>
      <c r="HJ278" s="68"/>
      <c r="HK278" s="68"/>
      <c r="HL278" s="68"/>
      <c r="HM278" s="68"/>
      <c r="HN278" s="68"/>
      <c r="HO278" s="68"/>
      <c r="HP278" s="68"/>
      <c r="HQ278" s="68"/>
      <c r="HR278" s="68"/>
      <c r="HS278" s="68"/>
      <c r="HT278" s="68"/>
      <c r="HU278" s="68"/>
      <c r="HV278" s="68"/>
      <c r="HW278" s="68"/>
      <c r="HX278" s="68"/>
      <c r="HY278" s="68"/>
      <c r="HZ278" s="68"/>
      <c r="IA278" s="68"/>
      <c r="IB278" s="68"/>
      <c r="IC278" s="68"/>
      <c r="ID278" s="68"/>
      <c r="IE278" s="68"/>
      <c r="IF278" s="68"/>
      <c r="IG278" s="68"/>
      <c r="IH278" s="68"/>
      <c r="II278" s="68"/>
      <c r="IJ278" s="68"/>
      <c r="IK278" s="68"/>
      <c r="IL278" s="68"/>
      <c r="IM278" s="68"/>
    </row>
    <row r="279" spans="1:247" x14ac:dyDescent="0.35">
      <c r="A279" s="244">
        <v>8927</v>
      </c>
      <c r="B279" s="233" t="s">
        <v>2263</v>
      </c>
      <c r="C279" s="186" t="s">
        <v>40</v>
      </c>
      <c r="D279" s="245" t="s">
        <v>1993</v>
      </c>
      <c r="E279" s="119"/>
      <c r="F279" s="75">
        <f t="shared" si="57"/>
        <v>1.0209999999999999</v>
      </c>
      <c r="G279" s="252"/>
      <c r="H279" s="119"/>
      <c r="I279" s="234"/>
      <c r="J279" s="234"/>
      <c r="K279" s="234"/>
      <c r="L279" s="234"/>
      <c r="M279" s="234"/>
      <c r="N279" s="252"/>
      <c r="O279" s="80"/>
      <c r="P279" s="119"/>
      <c r="Q279" s="252"/>
      <c r="R279" s="81">
        <f t="shared" si="58"/>
        <v>1.0209999999999999</v>
      </c>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c r="HI279" s="68"/>
      <c r="HJ279" s="68"/>
      <c r="HK279" s="68"/>
      <c r="HL279" s="68"/>
      <c r="HM279" s="68"/>
      <c r="HN279" s="68"/>
      <c r="HO279" s="68"/>
      <c r="HP279" s="68"/>
      <c r="HQ279" s="68"/>
      <c r="HR279" s="68"/>
      <c r="HS279" s="68"/>
      <c r="HT279" s="68"/>
      <c r="HU279" s="68"/>
      <c r="HV279" s="68"/>
      <c r="HW279" s="68"/>
      <c r="HX279" s="68"/>
      <c r="HY279" s="68"/>
      <c r="HZ279" s="68"/>
      <c r="IA279" s="68"/>
      <c r="IB279" s="68"/>
      <c r="IC279" s="68"/>
      <c r="ID279" s="68"/>
      <c r="IE279" s="68"/>
      <c r="IF279" s="68"/>
      <c r="IG279" s="68"/>
      <c r="IH279" s="68"/>
      <c r="II279" s="68"/>
      <c r="IJ279" s="68"/>
      <c r="IK279" s="68"/>
      <c r="IL279" s="68"/>
      <c r="IM279" s="68"/>
    </row>
    <row r="280" spans="1:247" x14ac:dyDescent="0.35">
      <c r="A280" s="244">
        <v>8928</v>
      </c>
      <c r="B280" s="233" t="s">
        <v>2264</v>
      </c>
      <c r="C280" s="186" t="s">
        <v>40</v>
      </c>
      <c r="D280" s="245" t="s">
        <v>1993</v>
      </c>
      <c r="E280" s="119"/>
      <c r="F280" s="75">
        <f t="shared" si="57"/>
        <v>1.0209999999999999</v>
      </c>
      <c r="G280" s="252"/>
      <c r="H280" s="119"/>
      <c r="I280" s="234"/>
      <c r="J280" s="234"/>
      <c r="K280" s="234"/>
      <c r="L280" s="234"/>
      <c r="M280" s="234"/>
      <c r="N280" s="252"/>
      <c r="O280" s="80"/>
      <c r="P280" s="119"/>
      <c r="Q280" s="252"/>
      <c r="R280" s="81">
        <f t="shared" si="58"/>
        <v>1.0209999999999999</v>
      </c>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c r="HI280" s="68"/>
      <c r="HJ280" s="68"/>
      <c r="HK280" s="68"/>
      <c r="HL280" s="68"/>
      <c r="HM280" s="68"/>
      <c r="HN280" s="68"/>
      <c r="HO280" s="68"/>
      <c r="HP280" s="68"/>
      <c r="HQ280" s="68"/>
      <c r="HR280" s="68"/>
      <c r="HS280" s="68"/>
      <c r="HT280" s="68"/>
      <c r="HU280" s="68"/>
      <c r="HV280" s="68"/>
      <c r="HW280" s="68"/>
      <c r="HX280" s="68"/>
      <c r="HY280" s="68"/>
      <c r="HZ280" s="68"/>
      <c r="IA280" s="68"/>
      <c r="IB280" s="68"/>
      <c r="IC280" s="68"/>
      <c r="ID280" s="68"/>
      <c r="IE280" s="68"/>
      <c r="IF280" s="68"/>
      <c r="IG280" s="68"/>
      <c r="IH280" s="68"/>
      <c r="II280" s="68"/>
      <c r="IJ280" s="68"/>
      <c r="IK280" s="68"/>
      <c r="IL280" s="68"/>
      <c r="IM280" s="68"/>
    </row>
    <row r="281" spans="1:247" x14ac:dyDescent="0.35">
      <c r="A281" s="244">
        <v>8929</v>
      </c>
      <c r="B281" s="233" t="s">
        <v>2265</v>
      </c>
      <c r="C281" s="186" t="s">
        <v>40</v>
      </c>
      <c r="D281" s="245" t="s">
        <v>1993</v>
      </c>
      <c r="E281" s="119"/>
      <c r="F281" s="75">
        <f t="shared" si="57"/>
        <v>1.0209999999999999</v>
      </c>
      <c r="G281" s="252"/>
      <c r="H281" s="119"/>
      <c r="I281" s="234"/>
      <c r="J281" s="234"/>
      <c r="K281" s="234"/>
      <c r="L281" s="234"/>
      <c r="M281" s="234"/>
      <c r="N281" s="252"/>
      <c r="O281" s="80"/>
      <c r="P281" s="119"/>
      <c r="Q281" s="252"/>
      <c r="R281" s="81">
        <f t="shared" si="58"/>
        <v>1.0209999999999999</v>
      </c>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c r="HI281" s="68"/>
      <c r="HJ281" s="68"/>
      <c r="HK281" s="68"/>
      <c r="HL281" s="68"/>
      <c r="HM281" s="68"/>
      <c r="HN281" s="68"/>
      <c r="HO281" s="68"/>
      <c r="HP281" s="68"/>
      <c r="HQ281" s="68"/>
      <c r="HR281" s="68"/>
      <c r="HS281" s="68"/>
      <c r="HT281" s="68"/>
      <c r="HU281" s="68"/>
      <c r="HV281" s="68"/>
      <c r="HW281" s="68"/>
      <c r="HX281" s="68"/>
      <c r="HY281" s="68"/>
      <c r="HZ281" s="68"/>
      <c r="IA281" s="68"/>
      <c r="IB281" s="68"/>
      <c r="IC281" s="68"/>
      <c r="ID281" s="68"/>
      <c r="IE281" s="68"/>
      <c r="IF281" s="68"/>
      <c r="IG281" s="68"/>
      <c r="IH281" s="68"/>
      <c r="II281" s="68"/>
      <c r="IJ281" s="68"/>
      <c r="IK281" s="68"/>
      <c r="IL281" s="68"/>
      <c r="IM281" s="68"/>
    </row>
    <row r="282" spans="1:247" x14ac:dyDescent="0.35">
      <c r="A282" s="244">
        <v>8930</v>
      </c>
      <c r="B282" s="233" t="s">
        <v>2266</v>
      </c>
      <c r="C282" s="186" t="s">
        <v>28</v>
      </c>
      <c r="D282" s="245" t="s">
        <v>1996</v>
      </c>
      <c r="E282" s="119"/>
      <c r="F282" s="75">
        <f t="shared" si="57"/>
        <v>1.0209999999999999</v>
      </c>
      <c r="G282" s="252"/>
      <c r="H282" s="119"/>
      <c r="I282" s="234"/>
      <c r="J282" s="234"/>
      <c r="K282" s="234"/>
      <c r="L282" s="234"/>
      <c r="M282" s="234"/>
      <c r="N282" s="252"/>
      <c r="O282" s="80"/>
      <c r="P282" s="119">
        <f>+$P$3</f>
        <v>1.032</v>
      </c>
      <c r="Q282" s="252">
        <f>+$Q$3</f>
        <v>1.0349999999999999</v>
      </c>
      <c r="R282" s="81">
        <f t="shared" si="58"/>
        <v>1.0905505199999999</v>
      </c>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c r="HI282" s="68"/>
      <c r="HJ282" s="68"/>
      <c r="HK282" s="68"/>
      <c r="HL282" s="68"/>
      <c r="HM282" s="68"/>
      <c r="HN282" s="68"/>
      <c r="HO282" s="68"/>
      <c r="HP282" s="68"/>
      <c r="HQ282" s="68"/>
      <c r="HR282" s="68"/>
      <c r="HS282" s="68"/>
      <c r="HT282" s="68"/>
      <c r="HU282" s="68"/>
      <c r="HV282" s="68"/>
      <c r="HW282" s="68"/>
      <c r="HX282" s="68"/>
      <c r="HY282" s="68"/>
      <c r="HZ282" s="68"/>
      <c r="IA282" s="68"/>
      <c r="IB282" s="68"/>
      <c r="IC282" s="68"/>
      <c r="ID282" s="68"/>
      <c r="IE282" s="68"/>
      <c r="IF282" s="68"/>
      <c r="IG282" s="68"/>
      <c r="IH282" s="68"/>
      <c r="II282" s="68"/>
      <c r="IJ282" s="68"/>
      <c r="IK282" s="68"/>
      <c r="IL282" s="68"/>
      <c r="IM282" s="68"/>
    </row>
    <row r="283" spans="1:247" x14ac:dyDescent="0.35">
      <c r="A283" s="244">
        <v>8931</v>
      </c>
      <c r="B283" s="233" t="s">
        <v>2267</v>
      </c>
      <c r="C283" s="186" t="s">
        <v>28</v>
      </c>
      <c r="D283" s="245" t="s">
        <v>1996</v>
      </c>
      <c r="E283" s="119"/>
      <c r="F283" s="75">
        <f t="shared" si="57"/>
        <v>1.0209999999999999</v>
      </c>
      <c r="G283" s="252"/>
      <c r="H283" s="119"/>
      <c r="I283" s="234"/>
      <c r="J283" s="234"/>
      <c r="K283" s="234"/>
      <c r="L283" s="234"/>
      <c r="M283" s="234"/>
      <c r="N283" s="252"/>
      <c r="O283" s="80"/>
      <c r="P283" s="119">
        <f>+$P$3</f>
        <v>1.032</v>
      </c>
      <c r="Q283" s="252">
        <f>+$Q$3</f>
        <v>1.0349999999999999</v>
      </c>
      <c r="R283" s="81">
        <f t="shared" si="58"/>
        <v>1.0905505199999999</v>
      </c>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c r="HI283" s="68"/>
      <c r="HJ283" s="68"/>
      <c r="HK283" s="68"/>
      <c r="HL283" s="68"/>
      <c r="HM283" s="68"/>
      <c r="HN283" s="68"/>
      <c r="HO283" s="68"/>
      <c r="HP283" s="68"/>
      <c r="HQ283" s="68"/>
      <c r="HR283" s="68"/>
      <c r="HS283" s="68"/>
      <c r="HT283" s="68"/>
      <c r="HU283" s="68"/>
      <c r="HV283" s="68"/>
      <c r="HW283" s="68"/>
      <c r="HX283" s="68"/>
      <c r="HY283" s="68"/>
      <c r="HZ283" s="68"/>
      <c r="IA283" s="68"/>
      <c r="IB283" s="68"/>
      <c r="IC283" s="68"/>
      <c r="ID283" s="68"/>
      <c r="IE283" s="68"/>
      <c r="IF283" s="68"/>
      <c r="IG283" s="68"/>
      <c r="IH283" s="68"/>
      <c r="II283" s="68"/>
      <c r="IJ283" s="68"/>
      <c r="IK283" s="68"/>
      <c r="IL283" s="68"/>
      <c r="IM283" s="68"/>
    </row>
    <row r="284" spans="1:247" x14ac:dyDescent="0.35">
      <c r="A284" s="244">
        <v>8932</v>
      </c>
      <c r="B284" s="233" t="s">
        <v>2268</v>
      </c>
      <c r="C284" s="186" t="s">
        <v>28</v>
      </c>
      <c r="D284" s="245" t="s">
        <v>1996</v>
      </c>
      <c r="E284" s="119"/>
      <c r="F284" s="75">
        <f>+$F$3</f>
        <v>1.0209999999999999</v>
      </c>
      <c r="G284" s="252"/>
      <c r="H284" s="119"/>
      <c r="I284" s="234"/>
      <c r="J284" s="234"/>
      <c r="K284" s="234"/>
      <c r="L284" s="234"/>
      <c r="M284" s="234"/>
      <c r="N284" s="252"/>
      <c r="O284" s="80"/>
      <c r="P284" s="119">
        <f>+$P$3</f>
        <v>1.032</v>
      </c>
      <c r="Q284" s="252">
        <f>+$Q$3</f>
        <v>1.0349999999999999</v>
      </c>
      <c r="R284" s="81">
        <f>PRODUCT(E284:Q284)</f>
        <v>1.0905505199999999</v>
      </c>
      <c r="S284" s="92"/>
      <c r="AS284" s="9"/>
    </row>
    <row r="285" spans="1:247" x14ac:dyDescent="0.35">
      <c r="A285" s="244">
        <v>8951</v>
      </c>
      <c r="B285" s="233" t="s">
        <v>2269</v>
      </c>
      <c r="C285" s="186" t="s">
        <v>113</v>
      </c>
      <c r="D285" s="245" t="s">
        <v>1993</v>
      </c>
      <c r="E285" s="119"/>
      <c r="F285" s="75">
        <f>+$F$3</f>
        <v>1.0209999999999999</v>
      </c>
      <c r="G285" s="252"/>
      <c r="H285" s="119"/>
      <c r="I285" s="234"/>
      <c r="J285" s="234"/>
      <c r="K285" s="234"/>
      <c r="L285" s="234"/>
      <c r="M285" s="234"/>
      <c r="N285" s="252"/>
      <c r="O285" s="80"/>
      <c r="P285" s="119"/>
      <c r="Q285" s="252"/>
      <c r="R285" s="81">
        <f>PRODUCT(E285:Q285)</f>
        <v>1.0209999999999999</v>
      </c>
      <c r="AS285" s="94">
        <v>2251</v>
      </c>
    </row>
    <row r="286" spans="1:247" ht="30" customHeight="1" x14ac:dyDescent="0.35">
      <c r="Q286" s="92"/>
      <c r="R286" s="92"/>
      <c r="S286" s="92"/>
      <c r="AS286" s="9"/>
    </row>
    <row r="287" spans="1:247" ht="45" customHeight="1" x14ac:dyDescent="0.35">
      <c r="A287" s="9" t="s">
        <v>2270</v>
      </c>
      <c r="AS287" s="94">
        <v>2261</v>
      </c>
    </row>
    <row r="288" spans="1:247" ht="41.25" customHeight="1" x14ac:dyDescent="0.35">
      <c r="A288" s="1697" t="s">
        <v>2271</v>
      </c>
      <c r="B288" s="1697"/>
      <c r="C288" s="1697"/>
      <c r="D288" s="1697"/>
      <c r="E288" s="1697"/>
      <c r="F288" s="1697"/>
      <c r="G288" s="1697"/>
      <c r="H288" s="1697"/>
      <c r="I288" s="1697"/>
      <c r="J288" s="1697"/>
      <c r="K288" s="1697"/>
      <c r="L288" s="1697"/>
      <c r="M288" s="1697"/>
      <c r="N288" s="1697"/>
      <c r="O288" s="1697"/>
      <c r="P288" s="1697"/>
      <c r="Q288" s="1697"/>
      <c r="R288" s="15"/>
      <c r="AS288" s="94">
        <v>2264</v>
      </c>
    </row>
    <row r="289" spans="1:45" ht="30" customHeight="1" x14ac:dyDescent="0.35">
      <c r="A289" s="1697" t="s">
        <v>2272</v>
      </c>
      <c r="B289" s="1697"/>
      <c r="C289" s="1697"/>
      <c r="D289" s="1697"/>
      <c r="E289" s="1697"/>
      <c r="F289" s="1697"/>
      <c r="G289" s="1697"/>
      <c r="H289" s="1697"/>
      <c r="I289" s="1697"/>
      <c r="J289" s="1697"/>
      <c r="K289" s="1697"/>
      <c r="L289" s="1697"/>
      <c r="M289" s="1697"/>
      <c r="N289" s="1697"/>
      <c r="O289" s="1697"/>
      <c r="P289" s="1697"/>
      <c r="Q289" s="1697"/>
      <c r="AS289" s="94">
        <v>2265</v>
      </c>
    </row>
    <row r="290" spans="1:45" ht="19.5" customHeight="1" x14ac:dyDescent="0.35">
      <c r="A290" s="1697" t="s">
        <v>2273</v>
      </c>
      <c r="B290" s="1697"/>
      <c r="C290" s="1697"/>
      <c r="D290" s="1697"/>
      <c r="E290" s="1697"/>
      <c r="F290" s="1697"/>
      <c r="G290" s="1697"/>
      <c r="H290" s="1697"/>
      <c r="I290" s="1697"/>
      <c r="J290" s="1697"/>
      <c r="K290" s="1697"/>
      <c r="L290" s="1697"/>
      <c r="M290" s="1697"/>
      <c r="N290" s="1697"/>
      <c r="O290" s="1697"/>
      <c r="P290" s="1697"/>
      <c r="Q290" s="1697"/>
      <c r="AS290" s="94">
        <v>2271</v>
      </c>
    </row>
    <row r="291" spans="1:45" ht="30" customHeight="1" x14ac:dyDescent="0.35">
      <c r="A291" s="1697" t="s">
        <v>2274</v>
      </c>
      <c r="B291" s="1697"/>
      <c r="C291" s="1697"/>
      <c r="D291" s="1697"/>
      <c r="E291" s="1697"/>
      <c r="F291" s="1697"/>
      <c r="G291" s="1697"/>
      <c r="H291" s="1697"/>
      <c r="I291" s="1697"/>
      <c r="J291" s="1697"/>
      <c r="K291" s="1697"/>
      <c r="L291" s="1697"/>
      <c r="M291" s="1697"/>
      <c r="N291" s="1697"/>
      <c r="O291" s="1697"/>
      <c r="P291" s="1697"/>
      <c r="Q291" s="1697"/>
      <c r="AS291" s="94">
        <v>2281</v>
      </c>
    </row>
    <row r="292" spans="1:45" ht="30" customHeight="1" x14ac:dyDescent="0.35">
      <c r="A292" s="1743" t="s">
        <v>2275</v>
      </c>
      <c r="B292" s="1743"/>
      <c r="C292" s="1743"/>
      <c r="D292" s="1743"/>
      <c r="E292" s="1743"/>
      <c r="F292" s="1743"/>
      <c r="G292" s="1743"/>
      <c r="H292" s="1743"/>
      <c r="I292" s="1743"/>
      <c r="J292" s="1743"/>
      <c r="K292" s="1743"/>
      <c r="L292" s="1743"/>
      <c r="M292" s="1743"/>
      <c r="N292" s="1743"/>
      <c r="O292" s="1743"/>
      <c r="P292" s="1743"/>
      <c r="Q292" s="1743"/>
      <c r="AS292" s="94">
        <v>2291</v>
      </c>
    </row>
    <row r="293" spans="1:45" ht="30" customHeight="1" x14ac:dyDescent="0.35">
      <c r="A293" s="1697" t="s">
        <v>2276</v>
      </c>
      <c r="B293" s="1697"/>
      <c r="C293" s="1697"/>
      <c r="D293" s="1697"/>
      <c r="E293" s="1697"/>
      <c r="F293" s="1697"/>
      <c r="G293" s="1697"/>
      <c r="H293" s="1697"/>
      <c r="I293" s="1697"/>
      <c r="J293" s="1697"/>
      <c r="K293" s="1697"/>
      <c r="L293" s="1697"/>
      <c r="M293" s="1697"/>
      <c r="N293" s="1697"/>
      <c r="O293" s="1697"/>
      <c r="P293" s="1697"/>
      <c r="Q293" s="1697"/>
      <c r="AS293" s="94">
        <v>3101</v>
      </c>
    </row>
    <row r="294" spans="1:45" ht="45" customHeight="1" x14ac:dyDescent="0.35">
      <c r="A294" s="1697" t="s">
        <v>2277</v>
      </c>
      <c r="B294" s="1697"/>
      <c r="C294" s="1697"/>
      <c r="D294" s="1697"/>
      <c r="E294" s="1697"/>
      <c r="F294" s="1697"/>
      <c r="G294" s="1697"/>
      <c r="H294" s="1697"/>
      <c r="I294" s="1697"/>
      <c r="J294" s="1697"/>
      <c r="K294" s="1697"/>
      <c r="L294" s="1697"/>
      <c r="M294" s="1697"/>
      <c r="N294" s="1697"/>
      <c r="O294" s="1697"/>
      <c r="P294" s="1697"/>
      <c r="Q294" s="1697"/>
      <c r="AS294" s="94">
        <v>3102</v>
      </c>
    </row>
    <row r="295" spans="1:45" ht="30" customHeight="1" x14ac:dyDescent="0.35">
      <c r="A295" s="1697" t="s">
        <v>2278</v>
      </c>
      <c r="B295" s="1697"/>
      <c r="C295" s="1697"/>
      <c r="D295" s="1697"/>
      <c r="E295" s="1697"/>
      <c r="F295" s="1697"/>
      <c r="G295" s="1697"/>
      <c r="H295" s="1697"/>
      <c r="I295" s="1697"/>
      <c r="J295" s="1697"/>
      <c r="K295" s="1697"/>
      <c r="L295" s="1697"/>
      <c r="M295" s="1697"/>
      <c r="N295" s="1697"/>
      <c r="O295" s="1697"/>
      <c r="P295" s="1697"/>
      <c r="Q295" s="1697"/>
      <c r="AS295" s="94">
        <v>3103</v>
      </c>
    </row>
    <row r="296" spans="1:45" ht="30" customHeight="1" x14ac:dyDescent="0.35">
      <c r="A296" s="1697" t="s">
        <v>2279</v>
      </c>
      <c r="B296" s="1697"/>
      <c r="C296" s="1697"/>
      <c r="D296" s="1697"/>
      <c r="E296" s="1697"/>
      <c r="F296" s="1697"/>
      <c r="G296" s="1697"/>
      <c r="H296" s="1697"/>
      <c r="I296" s="1697"/>
      <c r="J296" s="1697"/>
      <c r="K296" s="1697"/>
      <c r="L296" s="1697"/>
      <c r="M296" s="1697"/>
      <c r="N296" s="1697"/>
      <c r="O296" s="1697"/>
      <c r="P296" s="1697"/>
      <c r="Q296" s="1697"/>
      <c r="AS296" s="94">
        <v>3104</v>
      </c>
    </row>
    <row r="297" spans="1:45" ht="45" customHeight="1" x14ac:dyDescent="0.35">
      <c r="A297" s="1697" t="s">
        <v>2280</v>
      </c>
      <c r="B297" s="1697"/>
      <c r="C297" s="1697"/>
      <c r="D297" s="1697"/>
      <c r="E297" s="1697"/>
      <c r="F297" s="1697"/>
      <c r="G297" s="1697"/>
      <c r="H297" s="1697"/>
      <c r="I297" s="1697"/>
      <c r="J297" s="1697"/>
      <c r="K297" s="1697"/>
      <c r="L297" s="1697"/>
      <c r="M297" s="1697"/>
      <c r="N297" s="1697"/>
      <c r="O297" s="1697"/>
      <c r="P297" s="1697"/>
      <c r="Q297" s="1697"/>
      <c r="AS297" s="94">
        <v>3111</v>
      </c>
    </row>
    <row r="298" spans="1:45" ht="15" customHeight="1" x14ac:dyDescent="0.35">
      <c r="A298" s="1697" t="s">
        <v>2281</v>
      </c>
      <c r="B298" s="1697"/>
      <c r="C298" s="1697"/>
      <c r="D298" s="1697"/>
      <c r="E298" s="1697"/>
      <c r="F298" s="1697"/>
      <c r="G298" s="1697"/>
      <c r="H298" s="1697"/>
      <c r="I298" s="1697"/>
      <c r="J298" s="1697"/>
      <c r="K298" s="1697"/>
      <c r="L298" s="1697"/>
      <c r="M298" s="1697"/>
      <c r="N298" s="1697"/>
      <c r="O298" s="1697"/>
      <c r="P298" s="1697"/>
      <c r="Q298" s="1697"/>
      <c r="AS298" s="94">
        <v>3121</v>
      </c>
    </row>
    <row r="299" spans="1:45" ht="45" customHeight="1" x14ac:dyDescent="0.35">
      <c r="A299" s="1697" t="s">
        <v>2282</v>
      </c>
      <c r="B299" s="1697"/>
      <c r="C299" s="1697"/>
      <c r="D299" s="1697"/>
      <c r="E299" s="1697"/>
      <c r="F299" s="1697"/>
      <c r="G299" s="1697"/>
      <c r="H299" s="1697"/>
      <c r="I299" s="1697"/>
      <c r="J299" s="1697"/>
      <c r="K299" s="1697"/>
      <c r="L299" s="1697"/>
      <c r="M299" s="1697"/>
      <c r="N299" s="1697"/>
      <c r="O299" s="1697"/>
      <c r="P299" s="1697"/>
      <c r="Q299" s="1697"/>
      <c r="AS299" s="94">
        <v>3131</v>
      </c>
    </row>
    <row r="300" spans="1:45" ht="45" customHeight="1" x14ac:dyDescent="0.35">
      <c r="A300" s="1697" t="s">
        <v>2283</v>
      </c>
      <c r="B300" s="1697"/>
      <c r="C300" s="1697"/>
      <c r="D300" s="1697"/>
      <c r="E300" s="1697"/>
      <c r="F300" s="1697"/>
      <c r="G300" s="1697"/>
      <c r="H300" s="1697"/>
      <c r="I300" s="1697"/>
      <c r="J300" s="1697"/>
      <c r="K300" s="1697"/>
      <c r="L300" s="1697"/>
      <c r="M300" s="1697"/>
      <c r="N300" s="1697"/>
      <c r="O300" s="1697"/>
      <c r="P300" s="1697"/>
      <c r="Q300" s="1697"/>
      <c r="AS300" s="94">
        <v>3141</v>
      </c>
    </row>
    <row r="301" spans="1:45" ht="45" customHeight="1" x14ac:dyDescent="0.35">
      <c r="A301" s="1697" t="s">
        <v>2284</v>
      </c>
      <c r="B301" s="1697"/>
      <c r="C301" s="1697"/>
      <c r="D301" s="1697"/>
      <c r="E301" s="1697"/>
      <c r="F301" s="1697"/>
      <c r="G301" s="1697"/>
      <c r="H301" s="1697"/>
      <c r="I301" s="1697"/>
      <c r="J301" s="1697"/>
      <c r="K301" s="1697"/>
      <c r="L301" s="1697"/>
      <c r="M301" s="1697"/>
      <c r="N301" s="1697"/>
      <c r="O301" s="1697"/>
      <c r="P301" s="1697"/>
      <c r="Q301" s="1697"/>
      <c r="AS301" s="94">
        <v>3151</v>
      </c>
    </row>
    <row r="302" spans="1:45" ht="45" customHeight="1" x14ac:dyDescent="0.35">
      <c r="A302" s="1697" t="s">
        <v>2285</v>
      </c>
      <c r="B302" s="1697"/>
      <c r="C302" s="1697"/>
      <c r="D302" s="1697"/>
      <c r="E302" s="1697"/>
      <c r="F302" s="1697"/>
      <c r="G302" s="1697"/>
      <c r="H302" s="1697"/>
      <c r="I302" s="1697"/>
      <c r="J302" s="1697"/>
      <c r="K302" s="1697"/>
      <c r="L302" s="1697"/>
      <c r="M302" s="1697"/>
      <c r="N302" s="1697"/>
      <c r="O302" s="1697"/>
      <c r="P302" s="1697"/>
      <c r="Q302" s="1697"/>
      <c r="AS302" s="94">
        <v>3161</v>
      </c>
    </row>
    <row r="303" spans="1:45" ht="45" customHeight="1" x14ac:dyDescent="0.35">
      <c r="A303" s="1697" t="s">
        <v>2286</v>
      </c>
      <c r="B303" s="1697"/>
      <c r="C303" s="1697"/>
      <c r="D303" s="1697"/>
      <c r="E303" s="1697"/>
      <c r="F303" s="1697"/>
      <c r="G303" s="1697"/>
      <c r="H303" s="1697"/>
      <c r="I303" s="1697"/>
      <c r="J303" s="1697"/>
      <c r="K303" s="1697"/>
      <c r="L303" s="1697"/>
      <c r="M303" s="1697"/>
      <c r="N303" s="1697"/>
      <c r="O303" s="1697"/>
      <c r="P303" s="1697"/>
      <c r="Q303" s="1697"/>
      <c r="AS303" s="94">
        <v>3171</v>
      </c>
    </row>
    <row r="304" spans="1:45" ht="30" customHeight="1" x14ac:dyDescent="0.35">
      <c r="A304" s="1697" t="s">
        <v>2287</v>
      </c>
      <c r="B304" s="1697"/>
      <c r="C304" s="1697"/>
      <c r="D304" s="1697"/>
      <c r="E304" s="1697"/>
      <c r="F304" s="1697"/>
      <c r="G304" s="1697"/>
      <c r="H304" s="1697"/>
      <c r="I304" s="1697"/>
      <c r="J304" s="1697"/>
      <c r="K304" s="1697"/>
      <c r="L304" s="1697"/>
      <c r="M304" s="1697"/>
      <c r="N304" s="1697"/>
      <c r="O304" s="1697"/>
      <c r="P304" s="1697"/>
      <c r="Q304" s="1697"/>
      <c r="AS304" s="94">
        <v>3181</v>
      </c>
    </row>
    <row r="305" spans="1:45" ht="30" customHeight="1" x14ac:dyDescent="0.35">
      <c r="A305" s="1697" t="s">
        <v>2288</v>
      </c>
      <c r="B305" s="1697"/>
      <c r="C305" s="1697"/>
      <c r="D305" s="1697"/>
      <c r="E305" s="1697"/>
      <c r="F305" s="1697"/>
      <c r="G305" s="1697"/>
      <c r="H305" s="1697"/>
      <c r="I305" s="1697"/>
      <c r="J305" s="1697"/>
      <c r="K305" s="1697"/>
      <c r="L305" s="1697"/>
      <c r="M305" s="1697"/>
      <c r="N305" s="1697"/>
      <c r="O305" s="1697"/>
      <c r="P305" s="1697"/>
      <c r="Q305" s="1697"/>
      <c r="AS305" s="94">
        <v>3191</v>
      </c>
    </row>
    <row r="306" spans="1:45" ht="36" customHeight="1" x14ac:dyDescent="0.35">
      <c r="A306" s="1697" t="s">
        <v>2289</v>
      </c>
      <c r="B306" s="1697"/>
      <c r="C306" s="1697"/>
      <c r="D306" s="1697"/>
      <c r="E306" s="1697"/>
      <c r="F306" s="1697"/>
      <c r="G306" s="1697"/>
      <c r="H306" s="1697"/>
      <c r="I306" s="1697"/>
      <c r="J306" s="1697"/>
      <c r="K306" s="1697"/>
      <c r="L306" s="1697"/>
      <c r="M306" s="1697"/>
      <c r="N306" s="1697"/>
      <c r="O306" s="1697"/>
      <c r="P306" s="1697"/>
      <c r="Q306" s="1697"/>
      <c r="AR306" s="94">
        <v>3201</v>
      </c>
      <c r="AS306" s="9"/>
    </row>
    <row r="307" spans="1:45" ht="39" customHeight="1" x14ac:dyDescent="0.35">
      <c r="A307" s="1697" t="s">
        <v>2290</v>
      </c>
      <c r="B307" s="1697"/>
      <c r="C307" s="1697"/>
      <c r="D307" s="1697"/>
      <c r="E307" s="1697"/>
      <c r="F307" s="1697"/>
      <c r="G307" s="1697"/>
      <c r="H307" s="1697"/>
      <c r="I307" s="1697"/>
      <c r="J307" s="1697"/>
      <c r="K307" s="1697"/>
      <c r="L307" s="1697"/>
      <c r="M307" s="1697"/>
      <c r="N307" s="1697"/>
      <c r="O307" s="1697"/>
      <c r="P307" s="1697"/>
      <c r="Q307" s="1697"/>
      <c r="AS307" s="94">
        <v>3211</v>
      </c>
    </row>
    <row r="308" spans="1:45" x14ac:dyDescent="0.35">
      <c r="A308" s="14"/>
      <c r="B308" s="14"/>
      <c r="C308" s="14"/>
      <c r="D308" s="14"/>
      <c r="E308" s="14"/>
      <c r="F308" s="14"/>
      <c r="G308" s="14"/>
      <c r="H308" s="14"/>
      <c r="I308" s="14"/>
      <c r="J308" s="14"/>
      <c r="K308" s="14"/>
      <c r="L308" s="14"/>
      <c r="M308" s="14"/>
      <c r="N308" s="14"/>
      <c r="O308" s="14"/>
      <c r="P308" s="14"/>
      <c r="Q308" s="93"/>
      <c r="R308" s="9"/>
      <c r="AS308" s="94">
        <v>3711</v>
      </c>
    </row>
    <row r="309" spans="1:45" x14ac:dyDescent="0.35">
      <c r="A309" s="14"/>
      <c r="B309" s="14"/>
      <c r="C309" s="14"/>
      <c r="D309" s="14"/>
      <c r="E309" s="14"/>
      <c r="F309" s="14"/>
      <c r="G309" s="14"/>
      <c r="H309" s="14"/>
      <c r="I309" s="14"/>
      <c r="J309" s="14"/>
      <c r="K309" s="14"/>
      <c r="L309" s="14"/>
      <c r="M309" s="14"/>
      <c r="N309" s="14"/>
      <c r="O309" s="14"/>
      <c r="P309" s="14"/>
      <c r="Q309" s="14"/>
      <c r="AS309" s="94">
        <v>3712</v>
      </c>
    </row>
    <row r="310" spans="1:45" x14ac:dyDescent="0.35">
      <c r="A310" s="14"/>
      <c r="B310" s="14"/>
      <c r="C310" s="14"/>
      <c r="D310" s="14"/>
      <c r="E310" s="14"/>
      <c r="F310" s="14"/>
      <c r="G310" s="14"/>
      <c r="H310" s="14"/>
      <c r="I310" s="14"/>
      <c r="J310" s="14"/>
      <c r="K310" s="14"/>
      <c r="L310" s="14"/>
      <c r="M310" s="14"/>
      <c r="N310" s="14"/>
      <c r="O310" s="14"/>
      <c r="P310" s="14"/>
      <c r="Q310" s="14"/>
      <c r="AS310" s="94">
        <v>3713</v>
      </c>
    </row>
    <row r="311" spans="1:45" x14ac:dyDescent="0.35">
      <c r="A311" s="14"/>
      <c r="B311" s="14"/>
      <c r="C311" s="14"/>
      <c r="D311" s="14"/>
      <c r="E311" s="14"/>
      <c r="F311" s="14"/>
      <c r="G311" s="14"/>
      <c r="H311" s="14"/>
      <c r="I311" s="14"/>
      <c r="J311" s="14"/>
      <c r="K311" s="14"/>
      <c r="L311" s="14"/>
      <c r="M311" s="14"/>
      <c r="N311" s="14"/>
      <c r="O311" s="14"/>
      <c r="P311" s="14"/>
      <c r="Q311" s="14"/>
      <c r="AS311" s="94">
        <v>3901</v>
      </c>
    </row>
    <row r="312" spans="1:45" x14ac:dyDescent="0.35">
      <c r="A312" s="14"/>
      <c r="B312" s="14"/>
      <c r="C312" s="14"/>
      <c r="D312" s="14"/>
      <c r="E312" s="14"/>
      <c r="F312" s="14"/>
      <c r="G312" s="14"/>
      <c r="H312" s="14"/>
      <c r="I312" s="14"/>
      <c r="J312" s="14"/>
      <c r="K312" s="14"/>
      <c r="L312" s="14"/>
      <c r="M312" s="14"/>
      <c r="N312" s="14"/>
      <c r="O312" s="14"/>
      <c r="P312" s="14"/>
      <c r="Q312" s="14"/>
      <c r="AS312" s="94">
        <v>3902</v>
      </c>
    </row>
    <row r="313" spans="1:45" x14ac:dyDescent="0.35">
      <c r="A313" s="14"/>
      <c r="B313" s="14"/>
      <c r="C313" s="14"/>
      <c r="D313" s="14"/>
      <c r="E313" s="14"/>
      <c r="F313" s="14"/>
      <c r="G313" s="14"/>
      <c r="H313" s="14"/>
      <c r="I313" s="14"/>
      <c r="J313" s="14"/>
      <c r="K313" s="14"/>
      <c r="L313" s="14"/>
      <c r="M313" s="14"/>
      <c r="N313" s="14"/>
      <c r="O313" s="14"/>
      <c r="P313" s="14"/>
      <c r="Q313" s="14"/>
      <c r="AS313" s="94">
        <v>3903</v>
      </c>
    </row>
    <row r="314" spans="1:45" x14ac:dyDescent="0.35">
      <c r="A314" s="14"/>
      <c r="B314" s="14"/>
      <c r="C314" s="14"/>
      <c r="D314" s="14"/>
      <c r="E314" s="14"/>
      <c r="F314" s="14"/>
      <c r="G314" s="14"/>
      <c r="H314" s="14"/>
      <c r="I314" s="14"/>
      <c r="J314" s="14"/>
      <c r="K314" s="14"/>
      <c r="L314" s="14"/>
      <c r="M314" s="14"/>
      <c r="N314" s="14"/>
      <c r="O314" s="14"/>
      <c r="P314" s="14"/>
      <c r="Q314" s="14"/>
      <c r="AS314" s="94">
        <v>3904</v>
      </c>
    </row>
    <row r="315" spans="1:45" x14ac:dyDescent="0.35">
      <c r="A315" s="14"/>
      <c r="B315" s="14"/>
      <c r="C315" s="14"/>
      <c r="D315" s="14"/>
      <c r="E315" s="14"/>
      <c r="F315" s="14"/>
      <c r="G315" s="14"/>
      <c r="H315" s="14"/>
      <c r="I315" s="14"/>
      <c r="J315" s="14"/>
      <c r="K315" s="14"/>
      <c r="L315" s="14"/>
      <c r="M315" s="14"/>
      <c r="N315" s="14"/>
      <c r="O315" s="14"/>
      <c r="P315" s="14"/>
      <c r="Q315" s="14"/>
      <c r="AS315" s="94">
        <v>4111</v>
      </c>
    </row>
    <row r="316" spans="1:45" x14ac:dyDescent="0.35">
      <c r="A316" s="14"/>
      <c r="B316" s="14"/>
      <c r="C316" s="14"/>
      <c r="D316" s="14"/>
      <c r="E316" s="14"/>
      <c r="F316" s="14"/>
      <c r="G316" s="14"/>
      <c r="H316" s="14"/>
      <c r="I316" s="14"/>
      <c r="J316" s="14"/>
      <c r="K316" s="14"/>
      <c r="L316" s="14"/>
      <c r="M316" s="14"/>
      <c r="N316" s="14"/>
      <c r="O316" s="14"/>
      <c r="P316" s="14"/>
      <c r="Q316" s="14"/>
      <c r="AS316" s="94">
        <v>4112</v>
      </c>
    </row>
    <row r="317" spans="1:45" x14ac:dyDescent="0.35">
      <c r="A317" s="14"/>
      <c r="B317" s="14"/>
      <c r="C317" s="14"/>
      <c r="D317" s="14"/>
      <c r="E317" s="14"/>
      <c r="F317" s="14"/>
      <c r="G317" s="14"/>
      <c r="H317" s="14"/>
      <c r="I317" s="14"/>
      <c r="J317" s="14"/>
      <c r="K317" s="14"/>
      <c r="L317" s="14"/>
      <c r="M317" s="14"/>
      <c r="N317" s="14"/>
      <c r="O317" s="14"/>
      <c r="P317" s="14"/>
      <c r="Q317" s="14"/>
      <c r="AS317" s="94">
        <v>4113</v>
      </c>
    </row>
    <row r="318" spans="1:45" x14ac:dyDescent="0.35">
      <c r="A318" s="14"/>
      <c r="B318" s="14"/>
      <c r="C318" s="14"/>
      <c r="D318" s="14"/>
      <c r="E318" s="14"/>
      <c r="F318" s="14"/>
      <c r="G318" s="14"/>
      <c r="H318" s="14"/>
      <c r="I318" s="14"/>
      <c r="J318" s="14"/>
      <c r="K318" s="14"/>
      <c r="L318" s="14"/>
      <c r="M318" s="14"/>
      <c r="N318" s="14"/>
      <c r="O318" s="14"/>
      <c r="P318" s="14"/>
      <c r="Q318" s="14"/>
      <c r="AS318" s="94">
        <v>4114</v>
      </c>
    </row>
    <row r="319" spans="1:45" x14ac:dyDescent="0.35">
      <c r="A319" s="14"/>
      <c r="B319" s="14"/>
      <c r="C319" s="14"/>
      <c r="D319" s="14"/>
      <c r="E319" s="14"/>
      <c r="F319" s="14"/>
      <c r="G319" s="14"/>
      <c r="H319" s="14"/>
      <c r="I319" s="14"/>
      <c r="J319" s="14"/>
      <c r="K319" s="14"/>
      <c r="L319" s="14"/>
      <c r="M319" s="14"/>
      <c r="N319" s="14"/>
      <c r="O319" s="14"/>
      <c r="P319" s="14"/>
      <c r="Q319" s="14"/>
      <c r="AS319" s="94">
        <v>4121</v>
      </c>
    </row>
    <row r="320" spans="1:45" x14ac:dyDescent="0.35">
      <c r="A320" s="14"/>
      <c r="B320" s="14"/>
      <c r="C320" s="14"/>
      <c r="D320" s="14"/>
      <c r="E320" s="14"/>
      <c r="F320" s="14"/>
      <c r="G320" s="14"/>
      <c r="H320" s="14"/>
      <c r="I320" s="14"/>
      <c r="J320" s="14"/>
      <c r="K320" s="14"/>
      <c r="L320" s="14"/>
      <c r="M320" s="14"/>
      <c r="N320" s="14"/>
      <c r="O320" s="14"/>
      <c r="P320" s="14"/>
      <c r="Q320" s="14"/>
      <c r="AS320" s="94">
        <v>4122</v>
      </c>
    </row>
    <row r="321" spans="1:45" x14ac:dyDescent="0.35">
      <c r="A321" s="14"/>
      <c r="B321" s="14"/>
      <c r="C321" s="14"/>
      <c r="D321" s="14"/>
      <c r="E321" s="14"/>
      <c r="F321" s="14"/>
      <c r="G321" s="14"/>
      <c r="H321" s="14"/>
      <c r="I321" s="14"/>
      <c r="J321" s="14"/>
      <c r="K321" s="14"/>
      <c r="L321" s="14"/>
      <c r="M321" s="14"/>
      <c r="N321" s="14"/>
      <c r="O321" s="14"/>
      <c r="P321" s="14"/>
      <c r="Q321" s="14"/>
      <c r="AS321" s="94">
        <v>4211</v>
      </c>
    </row>
    <row r="322" spans="1:45" x14ac:dyDescent="0.35">
      <c r="A322" s="14"/>
      <c r="B322" s="14"/>
      <c r="C322" s="14"/>
      <c r="D322" s="14"/>
      <c r="E322" s="14"/>
      <c r="F322" s="14"/>
      <c r="G322" s="14"/>
      <c r="H322" s="14"/>
      <c r="I322" s="14"/>
      <c r="J322" s="14"/>
      <c r="K322" s="14"/>
      <c r="L322" s="14"/>
      <c r="M322" s="14"/>
      <c r="N322" s="14"/>
      <c r="O322" s="14"/>
      <c r="P322" s="14"/>
      <c r="Q322" s="14"/>
      <c r="AS322" s="94">
        <v>4212</v>
      </c>
    </row>
    <row r="323" spans="1:45" x14ac:dyDescent="0.35">
      <c r="A323" s="14"/>
      <c r="B323" s="14"/>
      <c r="C323" s="14"/>
      <c r="D323" s="14"/>
      <c r="E323" s="14"/>
      <c r="F323" s="14"/>
      <c r="G323" s="14"/>
      <c r="H323" s="14"/>
      <c r="I323" s="14"/>
      <c r="J323" s="14"/>
      <c r="K323" s="14"/>
      <c r="L323" s="14"/>
      <c r="M323" s="14"/>
      <c r="N323" s="14"/>
      <c r="O323" s="14"/>
      <c r="P323" s="14"/>
      <c r="Q323" s="14"/>
      <c r="AS323" s="94">
        <v>4221</v>
      </c>
    </row>
    <row r="324" spans="1:45" x14ac:dyDescent="0.35">
      <c r="A324" s="14"/>
      <c r="B324" s="14"/>
      <c r="C324" s="14"/>
      <c r="D324" s="14"/>
      <c r="E324" s="14"/>
      <c r="F324" s="14"/>
      <c r="G324" s="14"/>
      <c r="H324" s="14"/>
      <c r="I324" s="14"/>
      <c r="J324" s="14"/>
      <c r="K324" s="14"/>
      <c r="L324" s="14"/>
      <c r="M324" s="14"/>
      <c r="N324" s="14"/>
      <c r="O324" s="14"/>
      <c r="P324" s="14"/>
      <c r="Q324" s="14"/>
      <c r="AS324" s="94">
        <v>4222</v>
      </c>
    </row>
    <row r="325" spans="1:45" x14ac:dyDescent="0.35">
      <c r="A325" s="14"/>
      <c r="B325" s="14"/>
      <c r="C325" s="14"/>
      <c r="D325" s="14"/>
      <c r="E325" s="14"/>
      <c r="F325" s="14"/>
      <c r="G325" s="14"/>
      <c r="H325" s="14"/>
      <c r="I325" s="14"/>
      <c r="J325" s="14"/>
      <c r="K325" s="14"/>
      <c r="L325" s="14"/>
      <c r="M325" s="14"/>
      <c r="N325" s="14"/>
      <c r="O325" s="14"/>
      <c r="P325" s="14"/>
      <c r="Q325" s="14"/>
      <c r="AS325" s="94">
        <v>4231</v>
      </c>
    </row>
    <row r="326" spans="1:45" x14ac:dyDescent="0.35">
      <c r="A326" s="14"/>
      <c r="B326" s="14"/>
      <c r="C326" s="14"/>
      <c r="D326" s="14"/>
      <c r="E326" s="14"/>
      <c r="F326" s="14"/>
      <c r="G326" s="14"/>
      <c r="H326" s="14"/>
      <c r="I326" s="14"/>
      <c r="J326" s="14"/>
      <c r="K326" s="14"/>
      <c r="L326" s="14"/>
      <c r="M326" s="14"/>
      <c r="N326" s="14"/>
      <c r="O326" s="14"/>
      <c r="P326" s="14"/>
      <c r="Q326" s="14"/>
      <c r="AS326" s="94">
        <v>4241</v>
      </c>
    </row>
    <row r="327" spans="1:45" x14ac:dyDescent="0.35">
      <c r="A327" s="14"/>
      <c r="B327" s="14"/>
      <c r="C327" s="14"/>
      <c r="D327" s="14"/>
      <c r="E327" s="14"/>
      <c r="F327" s="14"/>
      <c r="G327" s="14"/>
      <c r="H327" s="14"/>
      <c r="I327" s="14"/>
      <c r="J327" s="14"/>
      <c r="K327" s="14"/>
      <c r="L327" s="14"/>
      <c r="M327" s="14"/>
      <c r="N327" s="14"/>
      <c r="O327" s="14"/>
      <c r="P327" s="14"/>
      <c r="Q327" s="14"/>
      <c r="AS327" s="94">
        <v>4251</v>
      </c>
    </row>
    <row r="328" spans="1:45" x14ac:dyDescent="0.35">
      <c r="A328" s="14"/>
      <c r="B328" s="14"/>
      <c r="C328" s="14"/>
      <c r="D328" s="14"/>
      <c r="E328" s="14"/>
      <c r="F328" s="14"/>
      <c r="G328" s="14"/>
      <c r="H328" s="14"/>
      <c r="I328" s="14"/>
      <c r="J328" s="14"/>
      <c r="K328" s="14"/>
      <c r="L328" s="14"/>
      <c r="M328" s="14"/>
      <c r="N328" s="14"/>
      <c r="O328" s="14"/>
      <c r="P328" s="14"/>
      <c r="Q328" s="14"/>
      <c r="AS328" s="94">
        <v>4311</v>
      </c>
    </row>
    <row r="329" spans="1:45" x14ac:dyDescent="0.35">
      <c r="A329" s="14"/>
      <c r="B329" s="14"/>
      <c r="C329" s="14"/>
      <c r="D329" s="14"/>
      <c r="E329" s="14"/>
      <c r="F329" s="14"/>
      <c r="G329" s="14"/>
      <c r="H329" s="14"/>
      <c r="I329" s="14"/>
      <c r="J329" s="14"/>
      <c r="K329" s="14"/>
      <c r="L329" s="14"/>
      <c r="M329" s="14"/>
      <c r="N329" s="14"/>
      <c r="O329" s="14"/>
      <c r="P329" s="14"/>
      <c r="Q329" s="14"/>
      <c r="AS329" s="94">
        <v>4321</v>
      </c>
    </row>
    <row r="330" spans="1:45" x14ac:dyDescent="0.35">
      <c r="A330" s="14"/>
      <c r="B330" s="14"/>
      <c r="C330" s="14"/>
      <c r="D330" s="14"/>
      <c r="E330" s="14"/>
      <c r="F330" s="14"/>
      <c r="G330" s="14"/>
      <c r="H330" s="14"/>
      <c r="I330" s="14"/>
      <c r="J330" s="14"/>
      <c r="K330" s="14"/>
      <c r="L330" s="14"/>
      <c r="M330" s="14"/>
      <c r="N330" s="14"/>
      <c r="O330" s="14"/>
      <c r="P330" s="14"/>
      <c r="Q330" s="14"/>
      <c r="AS330" s="94">
        <v>4411</v>
      </c>
    </row>
    <row r="331" spans="1:45" x14ac:dyDescent="0.35">
      <c r="A331" s="14"/>
      <c r="B331" s="14"/>
      <c r="C331" s="14"/>
      <c r="D331" s="14"/>
      <c r="E331" s="14"/>
      <c r="F331" s="14"/>
      <c r="G331" s="14"/>
      <c r="H331" s="14"/>
      <c r="I331" s="14"/>
      <c r="J331" s="14"/>
      <c r="K331" s="14"/>
      <c r="L331" s="14"/>
      <c r="M331" s="14"/>
      <c r="N331" s="14"/>
      <c r="O331" s="14"/>
      <c r="P331" s="14"/>
      <c r="Q331" s="14"/>
      <c r="AS331" s="94">
        <v>4412</v>
      </c>
    </row>
    <row r="332" spans="1:45" x14ac:dyDescent="0.35">
      <c r="A332" s="14"/>
      <c r="B332" s="14"/>
      <c r="C332" s="14"/>
      <c r="D332" s="14"/>
      <c r="E332" s="14"/>
      <c r="F332" s="14"/>
      <c r="G332" s="14"/>
      <c r="H332" s="14"/>
      <c r="I332" s="14"/>
      <c r="J332" s="14"/>
      <c r="K332" s="14"/>
      <c r="L332" s="14"/>
      <c r="M332" s="14"/>
      <c r="N332" s="14"/>
      <c r="O332" s="14"/>
      <c r="P332" s="14"/>
      <c r="Q332" s="14"/>
      <c r="AS332" s="94">
        <v>4413</v>
      </c>
    </row>
    <row r="333" spans="1:45" x14ac:dyDescent="0.35">
      <c r="A333" s="14"/>
      <c r="B333" s="14"/>
      <c r="C333" s="14"/>
      <c r="D333" s="14"/>
      <c r="E333" s="14"/>
      <c r="F333" s="14"/>
      <c r="G333" s="14"/>
      <c r="H333" s="14"/>
      <c r="I333" s="14"/>
      <c r="J333" s="14"/>
      <c r="K333" s="14"/>
      <c r="L333" s="14"/>
      <c r="M333" s="14"/>
      <c r="N333" s="14"/>
      <c r="O333" s="14"/>
      <c r="P333" s="14"/>
      <c r="Q333" s="14"/>
      <c r="AS333" s="94">
        <v>4414</v>
      </c>
    </row>
    <row r="334" spans="1:45" x14ac:dyDescent="0.35">
      <c r="A334" s="14"/>
      <c r="B334" s="14"/>
      <c r="C334" s="14"/>
      <c r="D334" s="14"/>
      <c r="E334" s="14"/>
      <c r="F334" s="14"/>
      <c r="G334" s="14"/>
      <c r="H334" s="14"/>
      <c r="I334" s="14"/>
      <c r="J334" s="14"/>
      <c r="K334" s="14"/>
      <c r="L334" s="14"/>
      <c r="M334" s="14"/>
      <c r="N334" s="14"/>
      <c r="O334" s="14"/>
      <c r="P334" s="14"/>
      <c r="Q334" s="14"/>
      <c r="AS334" s="94">
        <v>4421</v>
      </c>
    </row>
    <row r="335" spans="1:45" x14ac:dyDescent="0.35">
      <c r="A335" s="14"/>
      <c r="B335" s="14"/>
      <c r="C335" s="14"/>
      <c r="D335" s="14"/>
      <c r="E335" s="14"/>
      <c r="F335" s="14"/>
      <c r="G335" s="14"/>
      <c r="H335" s="14"/>
      <c r="I335" s="14"/>
      <c r="J335" s="14"/>
      <c r="K335" s="14"/>
      <c r="L335" s="14"/>
      <c r="M335" s="14"/>
      <c r="N335" s="14"/>
      <c r="O335" s="14"/>
      <c r="P335" s="14"/>
      <c r="Q335" s="14"/>
      <c r="AS335" s="94">
        <v>4422</v>
      </c>
    </row>
    <row r="336" spans="1:45" x14ac:dyDescent="0.35">
      <c r="A336" s="14"/>
      <c r="B336" s="14"/>
      <c r="C336" s="14"/>
      <c r="D336" s="14"/>
      <c r="E336" s="14"/>
      <c r="F336" s="14"/>
      <c r="G336" s="14"/>
      <c r="H336" s="14"/>
      <c r="I336" s="14"/>
      <c r="J336" s="14"/>
      <c r="K336" s="14"/>
      <c r="L336" s="14"/>
      <c r="M336" s="14"/>
      <c r="N336" s="14"/>
      <c r="O336" s="14"/>
      <c r="P336" s="14"/>
      <c r="Q336" s="14"/>
      <c r="AS336" s="94">
        <v>4423</v>
      </c>
    </row>
    <row r="337" spans="1:45" x14ac:dyDescent="0.35">
      <c r="A337" s="14"/>
      <c r="B337" s="14"/>
      <c r="C337" s="14"/>
      <c r="D337" s="14"/>
      <c r="E337" s="14"/>
      <c r="F337" s="14"/>
      <c r="G337" s="14"/>
      <c r="H337" s="14"/>
      <c r="I337" s="14"/>
      <c r="J337" s="14"/>
      <c r="K337" s="14"/>
      <c r="L337" s="14"/>
      <c r="M337" s="14"/>
      <c r="N337" s="14"/>
      <c r="O337" s="14"/>
      <c r="P337" s="14"/>
      <c r="Q337" s="14"/>
      <c r="AS337" s="94">
        <v>4424</v>
      </c>
    </row>
    <row r="338" spans="1:45" x14ac:dyDescent="0.35">
      <c r="A338" s="14"/>
      <c r="B338" s="14"/>
      <c r="C338" s="14"/>
      <c r="D338" s="14"/>
      <c r="E338" s="14"/>
      <c r="F338" s="14"/>
      <c r="G338" s="14"/>
      <c r="H338" s="14"/>
      <c r="I338" s="14"/>
      <c r="J338" s="14"/>
      <c r="K338" s="14"/>
      <c r="L338" s="14"/>
      <c r="M338" s="14"/>
      <c r="N338" s="14"/>
      <c r="O338" s="14"/>
      <c r="P338" s="14"/>
      <c r="Q338" s="14"/>
      <c r="AS338" s="94">
        <v>4425</v>
      </c>
    </row>
    <row r="339" spans="1:45" x14ac:dyDescent="0.35">
      <c r="A339" s="14"/>
      <c r="B339" s="14"/>
      <c r="C339" s="14"/>
      <c r="D339" s="14"/>
      <c r="E339" s="14"/>
      <c r="F339" s="14"/>
      <c r="G339" s="14"/>
      <c r="H339" s="14"/>
      <c r="I339" s="14"/>
      <c r="J339" s="14"/>
      <c r="K339" s="14"/>
      <c r="L339" s="14"/>
      <c r="M339" s="14"/>
      <c r="N339" s="14"/>
      <c r="O339" s="14"/>
      <c r="P339" s="14"/>
      <c r="Q339" s="14"/>
      <c r="AS339" s="94">
        <v>4426</v>
      </c>
    </row>
    <row r="340" spans="1:45" x14ac:dyDescent="0.35">
      <c r="A340" s="14"/>
      <c r="B340" s="14"/>
      <c r="C340" s="14"/>
      <c r="D340" s="14"/>
      <c r="E340" s="14"/>
      <c r="F340" s="14"/>
      <c r="G340" s="14"/>
      <c r="H340" s="14"/>
      <c r="I340" s="14"/>
      <c r="J340" s="14"/>
      <c r="K340" s="14"/>
      <c r="L340" s="14"/>
      <c r="M340" s="14"/>
      <c r="N340" s="14"/>
      <c r="O340" s="14"/>
      <c r="P340" s="14"/>
      <c r="Q340" s="14"/>
      <c r="AS340" s="94">
        <v>4427</v>
      </c>
    </row>
    <row r="341" spans="1:45" x14ac:dyDescent="0.35">
      <c r="A341" s="14"/>
      <c r="B341" s="14"/>
      <c r="C341" s="14"/>
      <c r="D341" s="14"/>
      <c r="E341" s="14"/>
      <c r="F341" s="14"/>
      <c r="G341" s="14"/>
      <c r="H341" s="14"/>
      <c r="I341" s="14"/>
      <c r="J341" s="14"/>
      <c r="K341" s="14"/>
      <c r="L341" s="14"/>
      <c r="M341" s="14"/>
      <c r="N341" s="14"/>
      <c r="O341" s="14"/>
      <c r="P341" s="14"/>
      <c r="Q341" s="14"/>
      <c r="AS341" s="94">
        <v>4428</v>
      </c>
    </row>
    <row r="342" spans="1:45" x14ac:dyDescent="0.35">
      <c r="A342" s="14"/>
      <c r="B342" s="14"/>
      <c r="C342" s="14"/>
      <c r="D342" s="14"/>
      <c r="E342" s="14"/>
      <c r="F342" s="14"/>
      <c r="G342" s="14"/>
      <c r="H342" s="14"/>
      <c r="I342" s="14"/>
      <c r="J342" s="14"/>
      <c r="K342" s="14"/>
      <c r="L342" s="14"/>
      <c r="M342" s="14"/>
      <c r="N342" s="14"/>
      <c r="O342" s="14"/>
      <c r="P342" s="14"/>
      <c r="Q342" s="14"/>
      <c r="AS342" s="94">
        <v>4511</v>
      </c>
    </row>
    <row r="343" spans="1:45" x14ac:dyDescent="0.35">
      <c r="A343" s="14"/>
      <c r="B343" s="14"/>
      <c r="C343" s="14"/>
      <c r="D343" s="14"/>
      <c r="E343" s="14"/>
      <c r="F343" s="14"/>
      <c r="G343" s="14"/>
      <c r="H343" s="14"/>
      <c r="I343" s="14"/>
      <c r="J343" s="14"/>
      <c r="K343" s="14"/>
      <c r="L343" s="14"/>
      <c r="M343" s="14"/>
      <c r="N343" s="14"/>
      <c r="O343" s="14"/>
      <c r="P343" s="14"/>
      <c r="Q343" s="14"/>
      <c r="AS343" s="94">
        <v>4521</v>
      </c>
    </row>
    <row r="344" spans="1:45" x14ac:dyDescent="0.35">
      <c r="A344" s="14"/>
      <c r="B344" s="14"/>
      <c r="C344" s="14"/>
      <c r="D344" s="14"/>
      <c r="E344" s="14"/>
      <c r="F344" s="14"/>
      <c r="G344" s="14"/>
      <c r="H344" s="14"/>
      <c r="I344" s="14"/>
      <c r="J344" s="14"/>
      <c r="K344" s="14"/>
      <c r="L344" s="14"/>
      <c r="M344" s="14"/>
      <c r="N344" s="14"/>
      <c r="O344" s="14"/>
      <c r="P344" s="14"/>
      <c r="Q344" s="14"/>
      <c r="AS344" s="94">
        <v>5100</v>
      </c>
    </row>
    <row r="345" spans="1:45" x14ac:dyDescent="0.35">
      <c r="A345" s="14"/>
      <c r="B345" s="14"/>
      <c r="C345" s="14"/>
      <c r="D345" s="14"/>
      <c r="E345" s="14"/>
      <c r="F345" s="14"/>
      <c r="G345" s="14"/>
      <c r="H345" s="14"/>
      <c r="I345" s="14"/>
      <c r="J345" s="14"/>
      <c r="K345" s="14"/>
      <c r="L345" s="14"/>
      <c r="M345" s="14"/>
      <c r="N345" s="14"/>
      <c r="O345" s="14"/>
      <c r="P345" s="14"/>
      <c r="Q345" s="14"/>
      <c r="AS345" s="94">
        <v>5302</v>
      </c>
    </row>
    <row r="346" spans="1:45" x14ac:dyDescent="0.35">
      <c r="A346" s="14"/>
      <c r="B346" s="14"/>
      <c r="C346" s="14"/>
      <c r="D346" s="14"/>
      <c r="E346" s="14"/>
      <c r="F346" s="14"/>
      <c r="G346" s="14"/>
      <c r="H346" s="14"/>
      <c r="I346" s="14"/>
      <c r="J346" s="14"/>
      <c r="K346" s="14"/>
      <c r="L346" s="14"/>
      <c r="M346" s="14"/>
      <c r="N346" s="14"/>
      <c r="O346" s="14"/>
      <c r="P346" s="14"/>
      <c r="Q346" s="14"/>
      <c r="AS346" s="94">
        <v>5303</v>
      </c>
    </row>
    <row r="347" spans="1:45" x14ac:dyDescent="0.35">
      <c r="A347" s="14"/>
      <c r="B347" s="14"/>
      <c r="C347" s="14"/>
      <c r="D347" s="14"/>
      <c r="E347" s="14"/>
      <c r="F347" s="14"/>
      <c r="G347" s="14"/>
      <c r="H347" s="14"/>
      <c r="I347" s="14"/>
      <c r="J347" s="14"/>
      <c r="K347" s="14"/>
      <c r="L347" s="14"/>
      <c r="M347" s="14"/>
      <c r="N347" s="14"/>
      <c r="O347" s="14"/>
      <c r="P347" s="14"/>
      <c r="Q347" s="14"/>
      <c r="AS347" s="94">
        <v>5304</v>
      </c>
    </row>
    <row r="348" spans="1:45" x14ac:dyDescent="0.35">
      <c r="A348" s="14"/>
      <c r="B348" s="14"/>
      <c r="C348" s="14"/>
      <c r="D348" s="14"/>
      <c r="E348" s="14"/>
      <c r="F348" s="14"/>
      <c r="G348" s="14"/>
      <c r="H348" s="14"/>
      <c r="I348" s="14"/>
      <c r="J348" s="14"/>
      <c r="K348" s="14"/>
      <c r="L348" s="14"/>
      <c r="M348" s="14"/>
      <c r="N348" s="14"/>
      <c r="O348" s="14"/>
      <c r="P348" s="14"/>
      <c r="Q348" s="14"/>
      <c r="AS348" s="94">
        <v>5306</v>
      </c>
    </row>
    <row r="349" spans="1:45" x14ac:dyDescent="0.35">
      <c r="A349" s="14"/>
      <c r="B349" s="14"/>
      <c r="C349" s="14"/>
      <c r="D349" s="14"/>
      <c r="E349" s="14"/>
      <c r="F349" s="14"/>
      <c r="G349" s="14"/>
      <c r="H349" s="14"/>
      <c r="I349" s="14"/>
      <c r="J349" s="14"/>
      <c r="K349" s="14"/>
      <c r="L349" s="14"/>
      <c r="M349" s="14"/>
      <c r="N349" s="14"/>
      <c r="O349" s="14"/>
      <c r="P349" s="14"/>
      <c r="Q349" s="14"/>
      <c r="AS349" s="94">
        <v>5307</v>
      </c>
    </row>
    <row r="350" spans="1:45" x14ac:dyDescent="0.35">
      <c r="A350" s="14"/>
      <c r="B350" s="14"/>
      <c r="C350" s="14"/>
      <c r="D350" s="14"/>
      <c r="E350" s="14"/>
      <c r="F350" s="14"/>
      <c r="G350" s="14"/>
      <c r="H350" s="14"/>
      <c r="I350" s="14"/>
      <c r="J350" s="14"/>
      <c r="K350" s="14"/>
      <c r="L350" s="14"/>
      <c r="M350" s="14"/>
      <c r="N350" s="14"/>
      <c r="O350" s="14"/>
      <c r="P350" s="14"/>
      <c r="Q350" s="14"/>
      <c r="AS350" s="94">
        <v>5400</v>
      </c>
    </row>
    <row r="351" spans="1:45" x14ac:dyDescent="0.35">
      <c r="A351" s="14"/>
      <c r="B351" s="14"/>
      <c r="C351" s="14"/>
      <c r="D351" s="14"/>
      <c r="E351" s="14"/>
      <c r="F351" s="14"/>
      <c r="G351" s="14"/>
      <c r="H351" s="14"/>
      <c r="I351" s="14"/>
      <c r="J351" s="14"/>
      <c r="K351" s="14"/>
      <c r="L351" s="14"/>
      <c r="M351" s="14"/>
      <c r="N351" s="14"/>
      <c r="O351" s="14"/>
      <c r="P351" s="14"/>
      <c r="Q351" s="14"/>
      <c r="AS351" s="94">
        <v>5500</v>
      </c>
    </row>
    <row r="352" spans="1:45" x14ac:dyDescent="0.35">
      <c r="A352" s="14"/>
      <c r="B352" s="14"/>
      <c r="C352" s="14"/>
      <c r="D352" s="14"/>
      <c r="E352" s="14"/>
      <c r="F352" s="14"/>
      <c r="G352" s="14"/>
      <c r="H352" s="14"/>
      <c r="I352" s="14"/>
      <c r="J352" s="14"/>
      <c r="K352" s="14"/>
      <c r="L352" s="14"/>
      <c r="M352" s="14"/>
      <c r="N352" s="14"/>
      <c r="O352" s="14"/>
      <c r="P352" s="14"/>
      <c r="Q352" s="14"/>
      <c r="AS352" s="94">
        <v>5501</v>
      </c>
    </row>
    <row r="353" spans="1:45" x14ac:dyDescent="0.35">
      <c r="A353" s="14"/>
      <c r="B353" s="14"/>
      <c r="C353" s="14"/>
      <c r="D353" s="14"/>
      <c r="E353" s="14"/>
      <c r="F353" s="14"/>
      <c r="G353" s="14"/>
      <c r="H353" s="14"/>
      <c r="I353" s="14"/>
      <c r="J353" s="14"/>
      <c r="K353" s="14"/>
      <c r="L353" s="14"/>
      <c r="M353" s="14"/>
      <c r="N353" s="14"/>
      <c r="O353" s="14"/>
      <c r="P353" s="14"/>
      <c r="Q353" s="14"/>
      <c r="AS353" s="94">
        <v>6100</v>
      </c>
    </row>
    <row r="354" spans="1:45" x14ac:dyDescent="0.35">
      <c r="A354" s="14"/>
      <c r="B354" s="14"/>
      <c r="C354" s="14"/>
      <c r="D354" s="14"/>
      <c r="E354" s="14"/>
      <c r="F354" s="14"/>
      <c r="G354" s="14"/>
      <c r="H354" s="14"/>
      <c r="I354" s="14"/>
      <c r="J354" s="14"/>
      <c r="K354" s="14"/>
      <c r="L354" s="14"/>
      <c r="M354" s="14"/>
      <c r="N354" s="14"/>
      <c r="O354" s="14"/>
      <c r="P354" s="14"/>
      <c r="Q354" s="14"/>
      <c r="AS354" s="94">
        <v>6101</v>
      </c>
    </row>
    <row r="355" spans="1:45" x14ac:dyDescent="0.35">
      <c r="A355" s="14"/>
      <c r="B355" s="14"/>
      <c r="C355" s="14"/>
      <c r="D355" s="14"/>
      <c r="E355" s="14"/>
      <c r="F355" s="14"/>
      <c r="G355" s="14"/>
      <c r="H355" s="14"/>
      <c r="I355" s="14"/>
      <c r="J355" s="14"/>
      <c r="K355" s="14"/>
      <c r="L355" s="14"/>
      <c r="M355" s="14"/>
      <c r="N355" s="14"/>
      <c r="O355" s="14"/>
      <c r="P355" s="14"/>
      <c r="Q355" s="14"/>
      <c r="AS355" s="94">
        <v>6102</v>
      </c>
    </row>
    <row r="356" spans="1:45" x14ac:dyDescent="0.35">
      <c r="A356" s="14"/>
      <c r="B356" s="14"/>
      <c r="C356" s="14"/>
      <c r="D356" s="14"/>
      <c r="E356" s="14"/>
      <c r="F356" s="14"/>
      <c r="G356" s="14"/>
      <c r="H356" s="14"/>
      <c r="I356" s="14"/>
      <c r="J356" s="14"/>
      <c r="K356" s="14"/>
      <c r="L356" s="14"/>
      <c r="M356" s="14"/>
      <c r="N356" s="14"/>
      <c r="O356" s="14"/>
      <c r="P356" s="14"/>
      <c r="Q356" s="14"/>
      <c r="AS356" s="94">
        <v>6103</v>
      </c>
    </row>
    <row r="357" spans="1:45" x14ac:dyDescent="0.35">
      <c r="A357" s="14"/>
      <c r="B357" s="14"/>
      <c r="C357" s="14"/>
      <c r="D357" s="14"/>
      <c r="E357" s="14"/>
      <c r="F357" s="14"/>
      <c r="G357" s="14"/>
      <c r="H357" s="14"/>
      <c r="I357" s="14"/>
      <c r="J357" s="14"/>
      <c r="K357" s="14"/>
      <c r="L357" s="14"/>
      <c r="M357" s="14"/>
      <c r="N357" s="14"/>
      <c r="O357" s="14"/>
      <c r="P357" s="14"/>
      <c r="Q357" s="14"/>
      <c r="AS357" s="94">
        <v>6104</v>
      </c>
    </row>
    <row r="358" spans="1:45" x14ac:dyDescent="0.35">
      <c r="A358" s="14"/>
      <c r="B358" s="14"/>
      <c r="C358" s="14"/>
      <c r="D358" s="14"/>
      <c r="E358" s="14"/>
      <c r="F358" s="14"/>
      <c r="G358" s="14"/>
      <c r="H358" s="14"/>
      <c r="I358" s="14"/>
      <c r="J358" s="14"/>
      <c r="K358" s="14"/>
      <c r="L358" s="14"/>
      <c r="M358" s="14"/>
      <c r="N358" s="14"/>
      <c r="O358" s="14"/>
      <c r="P358" s="14"/>
      <c r="Q358" s="14"/>
      <c r="AS358" s="94">
        <v>6105</v>
      </c>
    </row>
    <row r="359" spans="1:45" x14ac:dyDescent="0.35">
      <c r="A359" s="14"/>
      <c r="B359" s="14"/>
      <c r="C359" s="14"/>
      <c r="D359" s="14"/>
      <c r="E359" s="14"/>
      <c r="F359" s="14"/>
      <c r="G359" s="14"/>
      <c r="H359" s="14"/>
      <c r="I359" s="14"/>
      <c r="J359" s="14"/>
      <c r="K359" s="14"/>
      <c r="L359" s="14"/>
      <c r="M359" s="14"/>
      <c r="N359" s="14"/>
      <c r="O359" s="14"/>
      <c r="P359" s="14"/>
      <c r="Q359" s="14"/>
      <c r="AS359" s="94">
        <v>6106</v>
      </c>
    </row>
    <row r="360" spans="1:45" x14ac:dyDescent="0.35">
      <c r="A360" s="14"/>
      <c r="B360" s="14"/>
      <c r="C360" s="14"/>
      <c r="D360" s="14"/>
      <c r="E360" s="14"/>
      <c r="F360" s="14"/>
      <c r="G360" s="14"/>
      <c r="H360" s="14"/>
      <c r="I360" s="14"/>
      <c r="J360" s="14"/>
      <c r="K360" s="14"/>
      <c r="L360" s="14"/>
      <c r="M360" s="14"/>
      <c r="N360" s="14"/>
      <c r="O360" s="14"/>
      <c r="P360" s="14"/>
      <c r="Q360" s="14"/>
      <c r="AS360" s="94">
        <v>6200</v>
      </c>
    </row>
    <row r="361" spans="1:45" x14ac:dyDescent="0.35">
      <c r="A361" s="14"/>
      <c r="B361" s="14"/>
      <c r="C361" s="14"/>
      <c r="D361" s="14"/>
      <c r="E361" s="14"/>
      <c r="F361" s="14"/>
      <c r="G361" s="14"/>
      <c r="H361" s="14"/>
      <c r="I361" s="14"/>
      <c r="J361" s="14"/>
      <c r="K361" s="14"/>
      <c r="L361" s="14"/>
      <c r="M361" s="14"/>
      <c r="N361" s="14"/>
      <c r="O361" s="14"/>
      <c r="P361" s="14"/>
      <c r="Q361" s="14"/>
      <c r="AS361" s="94">
        <v>6201</v>
      </c>
    </row>
    <row r="362" spans="1:45" x14ac:dyDescent="0.35">
      <c r="A362" s="14"/>
      <c r="B362" s="14"/>
      <c r="C362" s="14"/>
      <c r="D362" s="14"/>
      <c r="E362" s="14"/>
      <c r="F362" s="14"/>
      <c r="G362" s="14"/>
      <c r="H362" s="14"/>
      <c r="I362" s="14"/>
      <c r="J362" s="14"/>
      <c r="K362" s="14"/>
      <c r="L362" s="14"/>
      <c r="M362" s="14"/>
      <c r="N362" s="14"/>
      <c r="O362" s="14"/>
      <c r="P362" s="14"/>
      <c r="Q362" s="14"/>
      <c r="AS362" s="94">
        <v>6900</v>
      </c>
    </row>
    <row r="363" spans="1:45" x14ac:dyDescent="0.35">
      <c r="A363" s="14"/>
      <c r="B363" s="14"/>
      <c r="C363" s="14"/>
      <c r="D363" s="14"/>
      <c r="E363" s="14"/>
      <c r="F363" s="14"/>
      <c r="G363" s="14"/>
      <c r="H363" s="14"/>
      <c r="I363" s="14"/>
      <c r="J363" s="14"/>
      <c r="K363" s="14"/>
      <c r="L363" s="14"/>
      <c r="M363" s="14"/>
      <c r="N363" s="14"/>
      <c r="O363" s="14"/>
      <c r="P363" s="14"/>
      <c r="Q363" s="14"/>
      <c r="AS363" s="94">
        <v>7110</v>
      </c>
    </row>
    <row r="364" spans="1:45" x14ac:dyDescent="0.35">
      <c r="A364" s="14"/>
      <c r="B364" s="14"/>
      <c r="C364" s="14"/>
      <c r="D364" s="14"/>
      <c r="E364" s="14"/>
      <c r="F364" s="14"/>
      <c r="G364" s="14"/>
      <c r="H364" s="14"/>
      <c r="I364" s="14"/>
      <c r="J364" s="14"/>
      <c r="K364" s="14"/>
      <c r="L364" s="14"/>
      <c r="M364" s="14"/>
      <c r="N364" s="14"/>
      <c r="O364" s="14"/>
      <c r="P364" s="14"/>
      <c r="Q364" s="14"/>
      <c r="AS364" s="94">
        <v>7120</v>
      </c>
    </row>
    <row r="365" spans="1:45" x14ac:dyDescent="0.35">
      <c r="A365" s="14"/>
      <c r="B365" s="14"/>
      <c r="C365" s="14"/>
      <c r="D365" s="14"/>
      <c r="E365" s="14"/>
      <c r="F365" s="14"/>
      <c r="G365" s="14"/>
      <c r="H365" s="14"/>
      <c r="I365" s="14"/>
      <c r="J365" s="14"/>
      <c r="K365" s="14"/>
      <c r="L365" s="14"/>
      <c r="M365" s="14"/>
      <c r="N365" s="14"/>
      <c r="O365" s="14"/>
      <c r="P365" s="14"/>
      <c r="Q365" s="14"/>
      <c r="AS365" s="94">
        <v>7130</v>
      </c>
    </row>
    <row r="366" spans="1:45" x14ac:dyDescent="0.35">
      <c r="A366" s="14"/>
      <c r="B366" s="14"/>
      <c r="C366" s="14"/>
      <c r="D366" s="14"/>
      <c r="E366" s="14"/>
      <c r="F366" s="14"/>
      <c r="G366" s="14"/>
      <c r="H366" s="14"/>
      <c r="I366" s="14"/>
      <c r="J366" s="14"/>
      <c r="K366" s="14"/>
      <c r="L366" s="14"/>
      <c r="M366" s="14"/>
      <c r="N366" s="14"/>
      <c r="O366" s="14"/>
      <c r="P366" s="14"/>
      <c r="Q366" s="14"/>
      <c r="AS366" s="94">
        <v>7141</v>
      </c>
    </row>
    <row r="367" spans="1:45" x14ac:dyDescent="0.35">
      <c r="A367" s="14"/>
      <c r="B367" s="14"/>
      <c r="C367" s="14"/>
      <c r="D367" s="14"/>
      <c r="E367" s="14"/>
      <c r="F367" s="14"/>
      <c r="G367" s="14"/>
      <c r="H367" s="14"/>
      <c r="I367" s="14"/>
      <c r="J367" s="14"/>
      <c r="K367" s="14"/>
      <c r="L367" s="14"/>
      <c r="M367" s="14"/>
      <c r="N367" s="14"/>
      <c r="O367" s="14"/>
      <c r="P367" s="14"/>
      <c r="Q367" s="14"/>
      <c r="AS367" s="94">
        <v>7142</v>
      </c>
    </row>
    <row r="368" spans="1:45" x14ac:dyDescent="0.35">
      <c r="A368" s="14"/>
      <c r="B368" s="14"/>
      <c r="C368" s="14"/>
      <c r="D368" s="14"/>
      <c r="E368" s="14"/>
      <c r="F368" s="14"/>
      <c r="G368" s="14"/>
      <c r="H368" s="14"/>
      <c r="I368" s="14"/>
      <c r="J368" s="14"/>
      <c r="K368" s="14"/>
      <c r="L368" s="14"/>
      <c r="M368" s="14"/>
      <c r="N368" s="14"/>
      <c r="O368" s="14"/>
      <c r="P368" s="14"/>
      <c r="Q368" s="14"/>
      <c r="AS368" s="94">
        <v>7143</v>
      </c>
    </row>
    <row r="369" spans="1:45" x14ac:dyDescent="0.35">
      <c r="A369" s="14"/>
      <c r="B369" s="14"/>
      <c r="C369" s="14"/>
      <c r="D369" s="14"/>
      <c r="E369" s="14"/>
      <c r="F369" s="14"/>
      <c r="G369" s="14"/>
      <c r="H369" s="14"/>
      <c r="I369" s="14"/>
      <c r="J369" s="14"/>
      <c r="K369" s="14"/>
      <c r="L369" s="14"/>
      <c r="M369" s="14"/>
      <c r="N369" s="14"/>
      <c r="O369" s="14"/>
      <c r="P369" s="14"/>
      <c r="Q369" s="14"/>
      <c r="AS369" s="94">
        <v>7145</v>
      </c>
    </row>
    <row r="370" spans="1:45" x14ac:dyDescent="0.35">
      <c r="A370" s="14"/>
      <c r="B370" s="14"/>
      <c r="C370" s="14"/>
      <c r="D370" s="14"/>
      <c r="E370" s="14"/>
      <c r="F370" s="14"/>
      <c r="G370" s="14"/>
      <c r="H370" s="14"/>
      <c r="I370" s="14"/>
      <c r="J370" s="14"/>
      <c r="K370" s="14"/>
      <c r="L370" s="14"/>
      <c r="M370" s="14"/>
      <c r="N370" s="14"/>
      <c r="O370" s="14"/>
      <c r="P370" s="14"/>
      <c r="Q370" s="14"/>
      <c r="AS370" s="94">
        <v>7147</v>
      </c>
    </row>
    <row r="371" spans="1:45" x14ac:dyDescent="0.35">
      <c r="A371" s="14"/>
      <c r="B371" s="14"/>
      <c r="C371" s="14"/>
      <c r="D371" s="14"/>
      <c r="E371" s="14"/>
      <c r="F371" s="14"/>
      <c r="G371" s="14"/>
      <c r="H371" s="14"/>
      <c r="I371" s="14"/>
      <c r="J371" s="14"/>
      <c r="K371" s="14"/>
      <c r="L371" s="14"/>
      <c r="M371" s="14"/>
      <c r="N371" s="14"/>
      <c r="O371" s="14"/>
      <c r="P371" s="14"/>
      <c r="Q371" s="14"/>
      <c r="AS371" s="94">
        <v>7210</v>
      </c>
    </row>
    <row r="372" spans="1:45" x14ac:dyDescent="0.35">
      <c r="A372" s="14"/>
      <c r="B372" s="14"/>
      <c r="C372" s="14"/>
      <c r="D372" s="14"/>
      <c r="E372" s="14"/>
      <c r="F372" s="14"/>
      <c r="G372" s="14"/>
      <c r="H372" s="14"/>
      <c r="I372" s="14"/>
      <c r="J372" s="14"/>
      <c r="K372" s="14"/>
      <c r="L372" s="14"/>
      <c r="M372" s="14"/>
      <c r="N372" s="14"/>
      <c r="O372" s="14"/>
      <c r="P372" s="14"/>
      <c r="Q372" s="14"/>
      <c r="AS372" s="94">
        <v>7212</v>
      </c>
    </row>
    <row r="373" spans="1:45" x14ac:dyDescent="0.35">
      <c r="A373" s="14"/>
      <c r="B373" s="14"/>
      <c r="C373" s="14"/>
      <c r="D373" s="14"/>
      <c r="E373" s="14"/>
      <c r="F373" s="14"/>
      <c r="G373" s="14"/>
      <c r="H373" s="14"/>
      <c r="I373" s="14"/>
      <c r="J373" s="14"/>
      <c r="K373" s="14"/>
      <c r="L373" s="14"/>
      <c r="M373" s="14"/>
      <c r="N373" s="14"/>
      <c r="O373" s="14"/>
      <c r="P373" s="14"/>
      <c r="Q373" s="14"/>
      <c r="AS373" s="94">
        <v>7213</v>
      </c>
    </row>
    <row r="374" spans="1:45" x14ac:dyDescent="0.35">
      <c r="A374" s="14"/>
      <c r="B374" s="14"/>
      <c r="C374" s="14"/>
      <c r="D374" s="14"/>
      <c r="E374" s="14"/>
      <c r="F374" s="14"/>
      <c r="G374" s="14"/>
      <c r="H374" s="14"/>
      <c r="I374" s="14"/>
      <c r="J374" s="14"/>
      <c r="K374" s="14"/>
      <c r="L374" s="14"/>
      <c r="M374" s="14"/>
      <c r="N374" s="14"/>
      <c r="O374" s="14"/>
      <c r="P374" s="14"/>
      <c r="Q374" s="14"/>
      <c r="AS374" s="94">
        <v>7214</v>
      </c>
    </row>
    <row r="375" spans="1:45" x14ac:dyDescent="0.35">
      <c r="A375" s="14"/>
      <c r="B375" s="14"/>
      <c r="C375" s="14"/>
      <c r="D375" s="14"/>
      <c r="E375" s="14"/>
      <c r="F375" s="14"/>
      <c r="G375" s="14"/>
      <c r="H375" s="14"/>
      <c r="I375" s="14"/>
      <c r="J375" s="14"/>
      <c r="K375" s="14"/>
      <c r="L375" s="14"/>
      <c r="M375" s="14"/>
      <c r="N375" s="14"/>
      <c r="O375" s="14"/>
      <c r="P375" s="14"/>
      <c r="Q375" s="14"/>
      <c r="AS375" s="94">
        <v>7215</v>
      </c>
    </row>
    <row r="376" spans="1:45" x14ac:dyDescent="0.35">
      <c r="A376" s="14"/>
      <c r="B376" s="14"/>
      <c r="C376" s="14"/>
      <c r="D376" s="14"/>
      <c r="E376" s="14"/>
      <c r="F376" s="14"/>
      <c r="G376" s="14"/>
      <c r="H376" s="14"/>
      <c r="I376" s="14"/>
      <c r="J376" s="14"/>
      <c r="K376" s="14"/>
      <c r="L376" s="14"/>
      <c r="M376" s="14"/>
      <c r="N376" s="14"/>
      <c r="O376" s="14"/>
      <c r="P376" s="14"/>
      <c r="Q376" s="14"/>
      <c r="AS376" s="94">
        <v>7218</v>
      </c>
    </row>
    <row r="377" spans="1:45" x14ac:dyDescent="0.35">
      <c r="A377" s="14"/>
      <c r="B377" s="14"/>
      <c r="C377" s="14"/>
      <c r="D377" s="14"/>
      <c r="E377" s="14"/>
      <c r="F377" s="14"/>
      <c r="G377" s="14"/>
      <c r="H377" s="14"/>
      <c r="I377" s="14"/>
      <c r="J377" s="14"/>
      <c r="K377" s="14"/>
      <c r="L377" s="14"/>
      <c r="M377" s="14"/>
      <c r="N377" s="14"/>
      <c r="O377" s="14"/>
      <c r="P377" s="14"/>
      <c r="Q377" s="14"/>
      <c r="AS377" s="94">
        <v>7220</v>
      </c>
    </row>
    <row r="378" spans="1:45" x14ac:dyDescent="0.35">
      <c r="A378" s="14"/>
      <c r="B378" s="14"/>
      <c r="C378" s="14"/>
      <c r="D378" s="14"/>
      <c r="E378" s="14"/>
      <c r="F378" s="14"/>
      <c r="G378" s="14"/>
      <c r="H378" s="14"/>
      <c r="I378" s="14"/>
      <c r="J378" s="14"/>
      <c r="K378" s="14"/>
      <c r="L378" s="14"/>
      <c r="M378" s="14"/>
      <c r="N378" s="14"/>
      <c r="O378" s="14"/>
      <c r="P378" s="14"/>
      <c r="Q378" s="14"/>
      <c r="AS378" s="94">
        <v>7231</v>
      </c>
    </row>
    <row r="379" spans="1:45" x14ac:dyDescent="0.35">
      <c r="A379" s="14"/>
      <c r="B379" s="14"/>
      <c r="C379" s="14"/>
      <c r="D379" s="14"/>
      <c r="E379" s="14"/>
      <c r="F379" s="14"/>
      <c r="G379" s="14"/>
      <c r="H379" s="14"/>
      <c r="I379" s="14"/>
      <c r="J379" s="14"/>
      <c r="K379" s="14"/>
      <c r="L379" s="14"/>
      <c r="M379" s="14"/>
      <c r="N379" s="14"/>
      <c r="O379" s="14"/>
      <c r="P379" s="14"/>
      <c r="Q379" s="14"/>
      <c r="AS379" s="94">
        <v>7232</v>
      </c>
    </row>
    <row r="380" spans="1:45" x14ac:dyDescent="0.35">
      <c r="A380" s="14"/>
      <c r="B380" s="14"/>
      <c r="C380" s="14"/>
      <c r="D380" s="14"/>
      <c r="E380" s="14"/>
      <c r="F380" s="14"/>
      <c r="G380" s="14"/>
      <c r="H380" s="14"/>
      <c r="I380" s="14"/>
      <c r="J380" s="14"/>
      <c r="K380" s="14"/>
      <c r="L380" s="14"/>
      <c r="M380" s="14"/>
      <c r="N380" s="14"/>
      <c r="O380" s="14"/>
      <c r="P380" s="14"/>
      <c r="Q380" s="14"/>
      <c r="AS380" s="94">
        <v>7233</v>
      </c>
    </row>
    <row r="381" spans="1:45" x14ac:dyDescent="0.35">
      <c r="A381" s="14"/>
      <c r="B381" s="14"/>
      <c r="C381" s="14"/>
      <c r="D381" s="14"/>
      <c r="E381" s="14"/>
      <c r="F381" s="14"/>
      <c r="G381" s="14"/>
      <c r="H381" s="14"/>
      <c r="I381" s="14"/>
      <c r="J381" s="14"/>
      <c r="K381" s="14"/>
      <c r="L381" s="14"/>
      <c r="M381" s="14"/>
      <c r="N381" s="14"/>
      <c r="O381" s="14"/>
      <c r="P381" s="14"/>
      <c r="Q381" s="14"/>
      <c r="AS381" s="94">
        <v>7234</v>
      </c>
    </row>
    <row r="382" spans="1:45" x14ac:dyDescent="0.35">
      <c r="A382" s="14"/>
      <c r="B382" s="14"/>
      <c r="C382" s="14"/>
      <c r="D382" s="14"/>
      <c r="E382" s="14"/>
      <c r="F382" s="14"/>
      <c r="G382" s="14"/>
      <c r="H382" s="14"/>
      <c r="I382" s="14"/>
      <c r="J382" s="14"/>
      <c r="K382" s="14"/>
      <c r="L382" s="14"/>
      <c r="M382" s="14"/>
      <c r="N382" s="14"/>
      <c r="O382" s="14"/>
      <c r="P382" s="14"/>
      <c r="Q382" s="14"/>
      <c r="AS382" s="94">
        <v>7235</v>
      </c>
    </row>
    <row r="383" spans="1:45" x14ac:dyDescent="0.35">
      <c r="A383" s="14"/>
      <c r="B383" s="14"/>
      <c r="C383" s="14"/>
      <c r="D383" s="14"/>
      <c r="E383" s="14"/>
      <c r="F383" s="14"/>
      <c r="G383" s="14"/>
      <c r="H383" s="14"/>
      <c r="I383" s="14"/>
      <c r="J383" s="14"/>
      <c r="K383" s="14"/>
      <c r="L383" s="14"/>
      <c r="M383" s="14"/>
      <c r="N383" s="14"/>
      <c r="O383" s="14"/>
      <c r="P383" s="14"/>
      <c r="Q383" s="14"/>
      <c r="AS383" s="94">
        <v>7236</v>
      </c>
    </row>
    <row r="384" spans="1:45" x14ac:dyDescent="0.35">
      <c r="A384" s="14"/>
      <c r="B384" s="14"/>
      <c r="C384" s="14"/>
      <c r="D384" s="14"/>
      <c r="E384" s="14"/>
      <c r="F384" s="14"/>
      <c r="G384" s="14"/>
      <c r="H384" s="14"/>
      <c r="I384" s="14"/>
      <c r="J384" s="14"/>
      <c r="K384" s="14"/>
      <c r="L384" s="14"/>
      <c r="M384" s="14"/>
      <c r="N384" s="14"/>
      <c r="O384" s="14"/>
      <c r="P384" s="14"/>
      <c r="Q384" s="14"/>
      <c r="AS384" s="94">
        <v>7240</v>
      </c>
    </row>
    <row r="385" spans="1:45" x14ac:dyDescent="0.35">
      <c r="A385" s="14"/>
      <c r="B385" s="14"/>
      <c r="C385" s="14"/>
      <c r="D385" s="14"/>
      <c r="E385" s="14"/>
      <c r="F385" s="14"/>
      <c r="G385" s="14"/>
      <c r="H385" s="14"/>
      <c r="I385" s="14"/>
      <c r="J385" s="14"/>
      <c r="K385" s="14"/>
      <c r="L385" s="14"/>
      <c r="M385" s="14"/>
      <c r="N385" s="14"/>
      <c r="O385" s="14"/>
      <c r="P385" s="14"/>
      <c r="Q385" s="14"/>
      <c r="AS385" s="94">
        <v>7241</v>
      </c>
    </row>
    <row r="386" spans="1:45" x14ac:dyDescent="0.35">
      <c r="A386" s="14"/>
      <c r="B386" s="14"/>
      <c r="C386" s="14"/>
      <c r="D386" s="14"/>
      <c r="E386" s="14"/>
      <c r="F386" s="14"/>
      <c r="G386" s="14"/>
      <c r="H386" s="14"/>
      <c r="I386" s="14"/>
      <c r="J386" s="14"/>
      <c r="K386" s="14"/>
      <c r="L386" s="14"/>
      <c r="M386" s="14"/>
      <c r="N386" s="14"/>
      <c r="O386" s="14"/>
      <c r="P386" s="14"/>
      <c r="Q386" s="14"/>
      <c r="AS386" s="94">
        <v>7242</v>
      </c>
    </row>
    <row r="387" spans="1:45" x14ac:dyDescent="0.35">
      <c r="A387" s="14"/>
      <c r="B387" s="14"/>
      <c r="C387" s="14"/>
      <c r="D387" s="14"/>
      <c r="E387" s="14"/>
      <c r="F387" s="14"/>
      <c r="G387" s="14"/>
      <c r="H387" s="14"/>
      <c r="I387" s="14"/>
      <c r="J387" s="14"/>
      <c r="K387" s="14"/>
      <c r="L387" s="14"/>
      <c r="M387" s="14"/>
      <c r="N387" s="14"/>
      <c r="O387" s="14"/>
      <c r="P387" s="14"/>
      <c r="Q387" s="14"/>
      <c r="AS387" s="94">
        <v>7250</v>
      </c>
    </row>
    <row r="388" spans="1:45" x14ac:dyDescent="0.35">
      <c r="A388" s="14"/>
      <c r="B388" s="14"/>
      <c r="C388" s="14"/>
      <c r="D388" s="14"/>
      <c r="E388" s="14"/>
      <c r="F388" s="14"/>
      <c r="G388" s="14"/>
      <c r="H388" s="14"/>
      <c r="I388" s="14"/>
      <c r="J388" s="14"/>
      <c r="K388" s="14"/>
      <c r="L388" s="14"/>
      <c r="M388" s="14"/>
      <c r="N388" s="14"/>
      <c r="O388" s="14"/>
      <c r="P388" s="14"/>
      <c r="Q388" s="14"/>
      <c r="AS388" s="94">
        <v>7251</v>
      </c>
    </row>
    <row r="389" spans="1:45" x14ac:dyDescent="0.35">
      <c r="A389" s="14"/>
      <c r="B389" s="14"/>
      <c r="C389" s="14"/>
      <c r="D389" s="14"/>
      <c r="E389" s="14"/>
      <c r="F389" s="14"/>
      <c r="G389" s="14"/>
      <c r="H389" s="14"/>
      <c r="I389" s="14"/>
      <c r="J389" s="14"/>
      <c r="K389" s="14"/>
      <c r="L389" s="14"/>
      <c r="M389" s="14"/>
      <c r="N389" s="14"/>
      <c r="O389" s="14"/>
      <c r="P389" s="14"/>
      <c r="Q389" s="14"/>
      <c r="AS389" s="94">
        <v>7311</v>
      </c>
    </row>
    <row r="390" spans="1:45" x14ac:dyDescent="0.35">
      <c r="A390" s="14"/>
      <c r="B390" s="14"/>
      <c r="C390" s="14"/>
      <c r="D390" s="14"/>
      <c r="E390" s="14"/>
      <c r="F390" s="14"/>
      <c r="G390" s="14"/>
      <c r="H390" s="14"/>
      <c r="I390" s="14"/>
      <c r="J390" s="14"/>
      <c r="K390" s="14"/>
      <c r="L390" s="14"/>
      <c r="M390" s="14"/>
      <c r="N390" s="14"/>
      <c r="O390" s="14"/>
      <c r="P390" s="14"/>
      <c r="Q390" s="14"/>
      <c r="AS390" s="94">
        <v>7312</v>
      </c>
    </row>
    <row r="391" spans="1:45" x14ac:dyDescent="0.35">
      <c r="A391" s="14"/>
      <c r="B391" s="14"/>
      <c r="C391" s="14"/>
      <c r="D391" s="14"/>
      <c r="E391" s="14"/>
      <c r="F391" s="14"/>
      <c r="G391" s="14"/>
      <c r="H391" s="14"/>
      <c r="I391" s="14"/>
      <c r="J391" s="14"/>
      <c r="K391" s="14"/>
      <c r="L391" s="14"/>
      <c r="M391" s="14"/>
      <c r="N391" s="14"/>
      <c r="O391" s="14"/>
      <c r="P391" s="14"/>
      <c r="Q391" s="14"/>
      <c r="AS391" s="94">
        <v>7313</v>
      </c>
    </row>
    <row r="392" spans="1:45" x14ac:dyDescent="0.35">
      <c r="A392" s="14"/>
      <c r="B392" s="14"/>
      <c r="C392" s="14"/>
      <c r="D392" s="14"/>
      <c r="E392" s="14"/>
      <c r="F392" s="14"/>
      <c r="G392" s="14"/>
      <c r="H392" s="14"/>
      <c r="I392" s="14"/>
      <c r="J392" s="14"/>
      <c r="K392" s="14"/>
      <c r="L392" s="14"/>
      <c r="M392" s="14"/>
      <c r="N392" s="14"/>
      <c r="O392" s="14"/>
      <c r="P392" s="14"/>
      <c r="Q392" s="14"/>
      <c r="AS392" s="94">
        <v>7314</v>
      </c>
    </row>
    <row r="393" spans="1:45" x14ac:dyDescent="0.35">
      <c r="A393" s="14"/>
      <c r="B393" s="14"/>
      <c r="C393" s="14"/>
      <c r="D393" s="14"/>
      <c r="E393" s="14"/>
      <c r="F393" s="14"/>
      <c r="G393" s="14"/>
      <c r="H393" s="14"/>
      <c r="I393" s="14"/>
      <c r="J393" s="14"/>
      <c r="K393" s="14"/>
      <c r="L393" s="14"/>
      <c r="M393" s="14"/>
      <c r="N393" s="14"/>
      <c r="O393" s="14"/>
      <c r="P393" s="14"/>
      <c r="Q393" s="14"/>
      <c r="AS393" s="94">
        <v>7321</v>
      </c>
    </row>
    <row r="394" spans="1:45" x14ac:dyDescent="0.35">
      <c r="A394" s="14"/>
      <c r="B394" s="14"/>
      <c r="C394" s="14"/>
      <c r="D394" s="14"/>
      <c r="E394" s="14"/>
      <c r="F394" s="14"/>
      <c r="G394" s="14"/>
      <c r="H394" s="14"/>
      <c r="I394" s="14"/>
      <c r="J394" s="14"/>
      <c r="K394" s="14"/>
      <c r="L394" s="14"/>
      <c r="M394" s="14"/>
      <c r="N394" s="14"/>
      <c r="O394" s="14"/>
      <c r="P394" s="14"/>
      <c r="Q394" s="14"/>
      <c r="AS394" s="94">
        <v>7322</v>
      </c>
    </row>
    <row r="395" spans="1:45" x14ac:dyDescent="0.35">
      <c r="A395" s="14"/>
      <c r="B395" s="14"/>
      <c r="C395" s="14"/>
      <c r="D395" s="14"/>
      <c r="E395" s="14"/>
      <c r="F395" s="14"/>
      <c r="G395" s="14"/>
      <c r="H395" s="14"/>
      <c r="I395" s="14"/>
      <c r="J395" s="14"/>
      <c r="K395" s="14"/>
      <c r="L395" s="14"/>
      <c r="M395" s="14"/>
      <c r="N395" s="14"/>
      <c r="O395" s="14"/>
      <c r="P395" s="14"/>
      <c r="Q395" s="14"/>
      <c r="AS395" s="94">
        <v>7323</v>
      </c>
    </row>
    <row r="396" spans="1:45" x14ac:dyDescent="0.35">
      <c r="A396" s="14"/>
      <c r="B396" s="14"/>
      <c r="C396" s="14"/>
      <c r="D396" s="14"/>
      <c r="E396" s="14"/>
      <c r="F396" s="14"/>
      <c r="G396" s="14"/>
      <c r="H396" s="14"/>
      <c r="I396" s="14"/>
      <c r="J396" s="14"/>
      <c r="K396" s="14"/>
      <c r="L396" s="14"/>
      <c r="M396" s="14"/>
      <c r="N396" s="14"/>
      <c r="O396" s="14"/>
      <c r="P396" s="14"/>
      <c r="Q396" s="14"/>
      <c r="AS396" s="94">
        <v>7331</v>
      </c>
    </row>
    <row r="397" spans="1:45" x14ac:dyDescent="0.35">
      <c r="A397" s="14"/>
      <c r="B397" s="14"/>
      <c r="C397" s="14"/>
      <c r="D397" s="14"/>
      <c r="E397" s="14"/>
      <c r="F397" s="14"/>
      <c r="G397" s="14"/>
      <c r="H397" s="14"/>
      <c r="I397" s="14"/>
      <c r="J397" s="14"/>
      <c r="K397" s="14"/>
      <c r="L397" s="14"/>
      <c r="M397" s="14"/>
      <c r="N397" s="14"/>
      <c r="O397" s="14"/>
      <c r="P397" s="14"/>
      <c r="Q397" s="14"/>
      <c r="AS397" s="94">
        <v>7332</v>
      </c>
    </row>
    <row r="398" spans="1:45" x14ac:dyDescent="0.35">
      <c r="A398" s="14"/>
      <c r="B398" s="14"/>
      <c r="C398" s="14"/>
      <c r="D398" s="14"/>
      <c r="E398" s="14"/>
      <c r="F398" s="14"/>
      <c r="G398" s="14"/>
      <c r="H398" s="14"/>
      <c r="I398" s="14"/>
      <c r="J398" s="14"/>
      <c r="K398" s="14"/>
      <c r="L398" s="14"/>
      <c r="M398" s="14"/>
      <c r="N398" s="14"/>
      <c r="O398" s="14"/>
      <c r="P398" s="14"/>
      <c r="Q398" s="14"/>
      <c r="AS398" s="94">
        <v>7333</v>
      </c>
    </row>
    <row r="399" spans="1:45" x14ac:dyDescent="0.35">
      <c r="A399" s="14"/>
      <c r="B399" s="14"/>
      <c r="C399" s="14"/>
      <c r="D399" s="14"/>
      <c r="E399" s="14"/>
      <c r="F399" s="14"/>
      <c r="G399" s="14"/>
      <c r="H399" s="14"/>
      <c r="I399" s="14"/>
      <c r="J399" s="14"/>
      <c r="K399" s="14"/>
      <c r="L399" s="14"/>
      <c r="M399" s="14"/>
      <c r="N399" s="14"/>
      <c r="O399" s="14"/>
      <c r="P399" s="14"/>
      <c r="Q399" s="14"/>
      <c r="AS399" s="94">
        <v>7340</v>
      </c>
    </row>
    <row r="400" spans="1:45" x14ac:dyDescent="0.35">
      <c r="A400" s="14"/>
      <c r="B400" s="14"/>
      <c r="C400" s="14"/>
      <c r="D400" s="14"/>
      <c r="E400" s="14"/>
      <c r="F400" s="14"/>
      <c r="G400" s="14"/>
      <c r="H400" s="14"/>
      <c r="I400" s="14"/>
      <c r="J400" s="14"/>
      <c r="K400" s="14"/>
      <c r="L400" s="14"/>
      <c r="M400" s="14"/>
      <c r="N400" s="14"/>
      <c r="O400" s="14"/>
      <c r="P400" s="14"/>
      <c r="Q400" s="14"/>
      <c r="AS400" s="94">
        <v>7341</v>
      </c>
    </row>
    <row r="401" spans="1:45" x14ac:dyDescent="0.35">
      <c r="A401" s="14"/>
      <c r="B401" s="14"/>
      <c r="C401" s="14"/>
      <c r="D401" s="14"/>
      <c r="E401" s="14"/>
      <c r="F401" s="14"/>
      <c r="G401" s="14"/>
      <c r="H401" s="14"/>
      <c r="I401" s="14"/>
      <c r="J401" s="14"/>
      <c r="K401" s="14"/>
      <c r="L401" s="14"/>
      <c r="M401" s="14"/>
      <c r="N401" s="14"/>
      <c r="O401" s="14"/>
      <c r="P401" s="14"/>
      <c r="Q401" s="14"/>
      <c r="AS401" s="94">
        <v>7342</v>
      </c>
    </row>
    <row r="402" spans="1:45" x14ac:dyDescent="0.35">
      <c r="A402" s="14"/>
      <c r="B402" s="14"/>
      <c r="C402" s="14"/>
      <c r="D402" s="14"/>
      <c r="E402" s="14"/>
      <c r="F402" s="14"/>
      <c r="G402" s="14"/>
      <c r="H402" s="14"/>
      <c r="I402" s="14"/>
      <c r="J402" s="14"/>
      <c r="K402" s="14"/>
      <c r="L402" s="14"/>
      <c r="M402" s="14"/>
      <c r="N402" s="14"/>
      <c r="O402" s="14"/>
      <c r="P402" s="14"/>
      <c r="Q402" s="14"/>
      <c r="AS402" s="94">
        <v>7343</v>
      </c>
    </row>
    <row r="403" spans="1:45" x14ac:dyDescent="0.35">
      <c r="A403" s="14"/>
      <c r="B403" s="14"/>
      <c r="C403" s="14"/>
      <c r="D403" s="14"/>
      <c r="E403" s="14"/>
      <c r="F403" s="14"/>
      <c r="G403" s="14"/>
      <c r="H403" s="14"/>
      <c r="I403" s="14"/>
      <c r="J403" s="14"/>
      <c r="K403" s="14"/>
      <c r="L403" s="14"/>
      <c r="M403" s="14"/>
      <c r="N403" s="14"/>
      <c r="O403" s="14"/>
      <c r="P403" s="14"/>
      <c r="Q403" s="14"/>
      <c r="AS403" s="94">
        <v>7344</v>
      </c>
    </row>
    <row r="404" spans="1:45" x14ac:dyDescent="0.35">
      <c r="A404" s="14"/>
      <c r="B404" s="14"/>
      <c r="C404" s="14"/>
      <c r="D404" s="14"/>
      <c r="E404" s="14"/>
      <c r="F404" s="14"/>
      <c r="G404" s="14"/>
      <c r="H404" s="14"/>
      <c r="I404" s="14"/>
      <c r="J404" s="14"/>
      <c r="K404" s="14"/>
      <c r="L404" s="14"/>
      <c r="M404" s="14"/>
      <c r="N404" s="14"/>
      <c r="O404" s="14"/>
      <c r="P404" s="14"/>
      <c r="Q404" s="14"/>
      <c r="AS404" s="94">
        <v>7345</v>
      </c>
    </row>
    <row r="405" spans="1:45" x14ac:dyDescent="0.35">
      <c r="A405" s="14"/>
      <c r="B405" s="14"/>
      <c r="C405" s="14"/>
      <c r="D405" s="14"/>
      <c r="E405" s="14"/>
      <c r="F405" s="14"/>
      <c r="G405" s="14"/>
      <c r="H405" s="14"/>
      <c r="I405" s="14"/>
      <c r="J405" s="14"/>
      <c r="K405" s="14"/>
      <c r="L405" s="14"/>
      <c r="M405" s="14"/>
      <c r="N405" s="14"/>
      <c r="O405" s="14"/>
      <c r="P405" s="14"/>
      <c r="Q405" s="14"/>
      <c r="AS405" s="94">
        <v>7346</v>
      </c>
    </row>
    <row r="406" spans="1:45" x14ac:dyDescent="0.35">
      <c r="A406" s="14"/>
      <c r="B406" s="14"/>
      <c r="C406" s="14"/>
      <c r="D406" s="14"/>
      <c r="E406" s="14"/>
      <c r="F406" s="14"/>
      <c r="G406" s="14"/>
      <c r="H406" s="14"/>
      <c r="I406" s="14"/>
      <c r="J406" s="14"/>
      <c r="K406" s="14"/>
      <c r="L406" s="14"/>
      <c r="M406" s="14"/>
      <c r="N406" s="14"/>
      <c r="O406" s="14"/>
      <c r="P406" s="14"/>
      <c r="Q406" s="14"/>
      <c r="AS406" s="94">
        <v>7347</v>
      </c>
    </row>
    <row r="407" spans="1:45" x14ac:dyDescent="0.35">
      <c r="A407" s="14"/>
      <c r="B407" s="14"/>
      <c r="C407" s="14"/>
      <c r="D407" s="14"/>
      <c r="E407" s="14"/>
      <c r="F407" s="14"/>
      <c r="G407" s="14"/>
      <c r="H407" s="14"/>
      <c r="I407" s="14"/>
      <c r="J407" s="14"/>
      <c r="K407" s="14"/>
      <c r="L407" s="14"/>
      <c r="M407" s="14"/>
      <c r="N407" s="14"/>
      <c r="O407" s="14"/>
      <c r="P407" s="14"/>
      <c r="Q407" s="14"/>
      <c r="AS407" s="94">
        <v>7348</v>
      </c>
    </row>
    <row r="408" spans="1:45" x14ac:dyDescent="0.35">
      <c r="A408" s="14"/>
      <c r="B408" s="14"/>
      <c r="C408" s="14"/>
      <c r="D408" s="14"/>
      <c r="E408" s="14"/>
      <c r="F408" s="14"/>
      <c r="G408" s="14"/>
      <c r="H408" s="14"/>
      <c r="I408" s="14"/>
      <c r="J408" s="14"/>
      <c r="K408" s="14"/>
      <c r="L408" s="14"/>
      <c r="M408" s="14"/>
      <c r="N408" s="14"/>
      <c r="O408" s="14"/>
      <c r="P408" s="14"/>
      <c r="Q408" s="14"/>
      <c r="AS408" s="94">
        <v>7349</v>
      </c>
    </row>
    <row r="409" spans="1:45" x14ac:dyDescent="0.35">
      <c r="A409" s="14"/>
      <c r="B409" s="14"/>
      <c r="C409" s="14"/>
      <c r="D409" s="14"/>
      <c r="E409" s="14"/>
      <c r="F409" s="14"/>
      <c r="G409" s="14"/>
      <c r="H409" s="14"/>
      <c r="I409" s="14"/>
      <c r="J409" s="14"/>
      <c r="K409" s="14"/>
      <c r="L409" s="14"/>
      <c r="M409" s="14"/>
      <c r="N409" s="14"/>
      <c r="O409" s="14"/>
      <c r="P409" s="14"/>
      <c r="Q409" s="14"/>
      <c r="AS409" s="94">
        <v>7351</v>
      </c>
    </row>
    <row r="410" spans="1:45" x14ac:dyDescent="0.35">
      <c r="A410" s="14"/>
      <c r="B410" s="14"/>
      <c r="C410" s="14"/>
      <c r="D410" s="14"/>
      <c r="E410" s="14"/>
      <c r="F410" s="14"/>
      <c r="G410" s="14"/>
      <c r="H410" s="14"/>
      <c r="I410" s="14"/>
      <c r="J410" s="14"/>
      <c r="K410" s="14"/>
      <c r="L410" s="14"/>
      <c r="M410" s="14"/>
      <c r="N410" s="14"/>
      <c r="O410" s="14"/>
      <c r="P410" s="14"/>
      <c r="Q410" s="14"/>
      <c r="AS410" s="94">
        <v>7352</v>
      </c>
    </row>
    <row r="411" spans="1:45" x14ac:dyDescent="0.35">
      <c r="A411" s="14"/>
      <c r="B411" s="14"/>
      <c r="C411" s="14"/>
      <c r="D411" s="14"/>
      <c r="E411" s="14"/>
      <c r="F411" s="14"/>
      <c r="G411" s="14"/>
      <c r="H411" s="14"/>
      <c r="I411" s="14"/>
      <c r="J411" s="14"/>
      <c r="K411" s="14"/>
      <c r="L411" s="14"/>
      <c r="M411" s="14"/>
      <c r="N411" s="14"/>
      <c r="O411" s="14"/>
      <c r="P411" s="14"/>
      <c r="Q411" s="14"/>
      <c r="AS411" s="94">
        <v>7353</v>
      </c>
    </row>
    <row r="412" spans="1:45" x14ac:dyDescent="0.35">
      <c r="A412" s="14"/>
      <c r="B412" s="14"/>
      <c r="C412" s="14"/>
      <c r="D412" s="14"/>
      <c r="E412" s="14"/>
      <c r="F412" s="14"/>
      <c r="G412" s="14"/>
      <c r="H412" s="14"/>
      <c r="I412" s="14"/>
      <c r="J412" s="14"/>
      <c r="K412" s="14"/>
      <c r="L412" s="14"/>
      <c r="M412" s="14"/>
      <c r="N412" s="14"/>
      <c r="O412" s="14"/>
      <c r="P412" s="14"/>
      <c r="Q412" s="14"/>
      <c r="AS412" s="94">
        <v>7354</v>
      </c>
    </row>
    <row r="413" spans="1:45" x14ac:dyDescent="0.35">
      <c r="A413" s="14"/>
      <c r="B413" s="14"/>
      <c r="C413" s="14"/>
      <c r="D413" s="14"/>
      <c r="E413" s="14"/>
      <c r="F413" s="14"/>
      <c r="G413" s="14"/>
      <c r="H413" s="14"/>
      <c r="I413" s="14"/>
      <c r="J413" s="14"/>
      <c r="K413" s="14"/>
      <c r="L413" s="14"/>
      <c r="M413" s="14"/>
      <c r="N413" s="14"/>
      <c r="O413" s="14"/>
      <c r="P413" s="14"/>
      <c r="Q413" s="14"/>
      <c r="AS413" s="94">
        <v>7361</v>
      </c>
    </row>
    <row r="414" spans="1:45" x14ac:dyDescent="0.35">
      <c r="A414" s="14"/>
      <c r="B414" s="14"/>
      <c r="C414" s="14"/>
      <c r="D414" s="14"/>
      <c r="E414" s="14"/>
      <c r="F414" s="14"/>
      <c r="G414" s="14"/>
      <c r="H414" s="14"/>
      <c r="I414" s="14"/>
      <c r="J414" s="14"/>
      <c r="K414" s="14"/>
      <c r="L414" s="14"/>
      <c r="M414" s="14"/>
      <c r="N414" s="14"/>
      <c r="O414" s="14"/>
      <c r="P414" s="14"/>
      <c r="Q414" s="14"/>
      <c r="AS414" s="94">
        <v>7362</v>
      </c>
    </row>
    <row r="415" spans="1:45" x14ac:dyDescent="0.35">
      <c r="A415" s="14"/>
      <c r="B415" s="14"/>
      <c r="C415" s="14"/>
      <c r="D415" s="14"/>
      <c r="E415" s="14"/>
      <c r="F415" s="14"/>
      <c r="G415" s="14"/>
      <c r="H415" s="14"/>
      <c r="I415" s="14"/>
      <c r="J415" s="14"/>
      <c r="K415" s="14"/>
      <c r="L415" s="14"/>
      <c r="M415" s="14"/>
      <c r="N415" s="14"/>
      <c r="O415" s="14"/>
      <c r="P415" s="14"/>
      <c r="Q415" s="14"/>
      <c r="AS415" s="94">
        <v>7371</v>
      </c>
    </row>
    <row r="416" spans="1:45" x14ac:dyDescent="0.35">
      <c r="A416" s="14"/>
      <c r="B416" s="14"/>
      <c r="C416" s="14"/>
      <c r="D416" s="14"/>
      <c r="E416" s="14"/>
      <c r="F416" s="14"/>
      <c r="G416" s="14"/>
      <c r="H416" s="14"/>
      <c r="I416" s="14"/>
      <c r="J416" s="14"/>
      <c r="K416" s="14"/>
      <c r="L416" s="14"/>
      <c r="M416" s="14"/>
      <c r="N416" s="14"/>
      <c r="O416" s="14"/>
      <c r="P416" s="14"/>
      <c r="Q416" s="14"/>
      <c r="AS416" s="94">
        <v>7372</v>
      </c>
    </row>
    <row r="417" spans="1:45" x14ac:dyDescent="0.35">
      <c r="A417" s="14"/>
      <c r="B417" s="14"/>
      <c r="C417" s="14"/>
      <c r="D417" s="14"/>
      <c r="E417" s="14"/>
      <c r="F417" s="14"/>
      <c r="G417" s="14"/>
      <c r="H417" s="14"/>
      <c r="I417" s="14"/>
      <c r="J417" s="14"/>
      <c r="K417" s="14"/>
      <c r="L417" s="14"/>
      <c r="M417" s="14"/>
      <c r="N417" s="14"/>
      <c r="O417" s="14"/>
      <c r="P417" s="14"/>
      <c r="Q417" s="14"/>
      <c r="AS417" s="94">
        <v>7380</v>
      </c>
    </row>
    <row r="418" spans="1:45" x14ac:dyDescent="0.35">
      <c r="A418" s="14"/>
      <c r="B418" s="14"/>
      <c r="C418" s="14"/>
      <c r="D418" s="14"/>
      <c r="E418" s="14"/>
      <c r="F418" s="14"/>
      <c r="G418" s="14"/>
      <c r="H418" s="14"/>
      <c r="I418" s="14"/>
      <c r="J418" s="14"/>
      <c r="K418" s="14"/>
      <c r="L418" s="14"/>
      <c r="M418" s="14"/>
      <c r="N418" s="14"/>
      <c r="O418" s="14"/>
      <c r="P418" s="14"/>
      <c r="Q418" s="14"/>
      <c r="AS418" s="94">
        <v>7381</v>
      </c>
    </row>
    <row r="419" spans="1:45" x14ac:dyDescent="0.35">
      <c r="A419" s="14"/>
      <c r="B419" s="14"/>
      <c r="C419" s="14"/>
      <c r="D419" s="14"/>
      <c r="E419" s="14"/>
      <c r="F419" s="14"/>
      <c r="G419" s="14"/>
      <c r="H419" s="14"/>
      <c r="I419" s="14"/>
      <c r="J419" s="14"/>
      <c r="K419" s="14"/>
      <c r="L419" s="14"/>
      <c r="M419" s="14"/>
      <c r="N419" s="14"/>
      <c r="O419" s="14"/>
      <c r="P419" s="14"/>
      <c r="Q419" s="14"/>
      <c r="AS419" s="94">
        <v>7382</v>
      </c>
    </row>
    <row r="420" spans="1:45" x14ac:dyDescent="0.35">
      <c r="A420" s="14"/>
      <c r="B420" s="14"/>
      <c r="C420" s="14"/>
      <c r="D420" s="14"/>
      <c r="E420" s="14"/>
      <c r="F420" s="14"/>
      <c r="G420" s="14"/>
      <c r="H420" s="14"/>
      <c r="I420" s="14"/>
      <c r="J420" s="14"/>
      <c r="K420" s="14"/>
      <c r="L420" s="14"/>
      <c r="M420" s="14"/>
      <c r="N420" s="14"/>
      <c r="O420" s="14"/>
      <c r="P420" s="14"/>
      <c r="Q420" s="14"/>
      <c r="AS420" s="94">
        <v>7383</v>
      </c>
    </row>
    <row r="421" spans="1:45" x14ac:dyDescent="0.35">
      <c r="A421" s="14"/>
      <c r="B421" s="14"/>
      <c r="C421" s="14"/>
      <c r="D421" s="14"/>
      <c r="E421" s="14"/>
      <c r="F421" s="14"/>
      <c r="G421" s="14"/>
      <c r="H421" s="14"/>
      <c r="I421" s="14"/>
      <c r="J421" s="14"/>
      <c r="K421" s="14"/>
      <c r="L421" s="14"/>
      <c r="M421" s="14"/>
      <c r="N421" s="14"/>
      <c r="O421" s="14"/>
      <c r="P421" s="14"/>
      <c r="Q421" s="14"/>
      <c r="AS421" s="94">
        <v>7384</v>
      </c>
    </row>
    <row r="422" spans="1:45" x14ac:dyDescent="0.35">
      <c r="A422" s="14"/>
      <c r="B422" s="14"/>
      <c r="C422" s="14"/>
      <c r="D422" s="14"/>
      <c r="E422" s="14"/>
      <c r="F422" s="14"/>
      <c r="G422" s="14"/>
      <c r="H422" s="14"/>
      <c r="I422" s="14"/>
      <c r="J422" s="14"/>
      <c r="K422" s="14"/>
      <c r="L422" s="14"/>
      <c r="M422" s="14"/>
      <c r="N422" s="14"/>
      <c r="O422" s="14"/>
      <c r="P422" s="14"/>
      <c r="Q422" s="14"/>
      <c r="AS422" s="94">
        <v>7385</v>
      </c>
    </row>
    <row r="423" spans="1:45" x14ac:dyDescent="0.35">
      <c r="A423" s="14"/>
      <c r="B423" s="14"/>
      <c r="C423" s="14"/>
      <c r="D423" s="14"/>
      <c r="E423" s="14"/>
      <c r="F423" s="14"/>
      <c r="G423" s="14"/>
      <c r="H423" s="14"/>
      <c r="I423" s="14"/>
      <c r="J423" s="14"/>
      <c r="K423" s="14"/>
      <c r="L423" s="14"/>
      <c r="M423" s="14"/>
      <c r="N423" s="14"/>
      <c r="O423" s="14"/>
      <c r="P423" s="14"/>
      <c r="Q423" s="14"/>
      <c r="AS423" s="94">
        <v>7386</v>
      </c>
    </row>
    <row r="424" spans="1:45" x14ac:dyDescent="0.35">
      <c r="A424" s="14"/>
      <c r="B424" s="14"/>
      <c r="C424" s="14"/>
      <c r="D424" s="14"/>
      <c r="E424" s="14"/>
      <c r="F424" s="14"/>
      <c r="G424" s="14"/>
      <c r="H424" s="14"/>
      <c r="I424" s="14"/>
      <c r="J424" s="14"/>
      <c r="K424" s="14"/>
      <c r="L424" s="14"/>
      <c r="M424" s="14"/>
      <c r="N424" s="14"/>
      <c r="O424" s="14"/>
      <c r="P424" s="14"/>
      <c r="Q424" s="14"/>
      <c r="AS424" s="94">
        <v>7387</v>
      </c>
    </row>
    <row r="425" spans="1:45" x14ac:dyDescent="0.35">
      <c r="A425" s="14"/>
      <c r="B425" s="14"/>
      <c r="C425" s="14"/>
      <c r="D425" s="14"/>
      <c r="E425" s="14"/>
      <c r="F425" s="14"/>
      <c r="G425" s="14"/>
      <c r="H425" s="14"/>
      <c r="I425" s="14"/>
      <c r="J425" s="14"/>
      <c r="K425" s="14"/>
      <c r="L425" s="14"/>
      <c r="M425" s="14"/>
      <c r="N425" s="14"/>
      <c r="O425" s="14"/>
      <c r="P425" s="14"/>
      <c r="Q425" s="14"/>
      <c r="AS425" s="94">
        <v>7388</v>
      </c>
    </row>
    <row r="426" spans="1:45" x14ac:dyDescent="0.35">
      <c r="A426" s="14"/>
      <c r="B426" s="14"/>
      <c r="C426" s="14"/>
      <c r="D426" s="14"/>
      <c r="E426" s="14"/>
      <c r="F426" s="14"/>
      <c r="G426" s="14"/>
      <c r="H426" s="14"/>
      <c r="I426" s="14"/>
      <c r="J426" s="14"/>
      <c r="K426" s="14"/>
      <c r="L426" s="14"/>
      <c r="M426" s="14"/>
      <c r="N426" s="14"/>
      <c r="O426" s="14"/>
      <c r="P426" s="14"/>
      <c r="Q426" s="14"/>
      <c r="AS426" s="94">
        <v>7389</v>
      </c>
    </row>
    <row r="427" spans="1:45" x14ac:dyDescent="0.35">
      <c r="A427" s="14"/>
      <c r="B427" s="14"/>
      <c r="C427" s="14"/>
      <c r="D427" s="14"/>
      <c r="E427" s="14"/>
      <c r="F427" s="14"/>
      <c r="G427" s="14"/>
      <c r="H427" s="14"/>
      <c r="I427" s="14"/>
      <c r="J427" s="14"/>
      <c r="K427" s="14"/>
      <c r="L427" s="14"/>
      <c r="M427" s="14"/>
      <c r="N427" s="14"/>
      <c r="O427" s="14"/>
      <c r="P427" s="14"/>
      <c r="Q427" s="14"/>
      <c r="AS427" s="94">
        <v>7411</v>
      </c>
    </row>
    <row r="428" spans="1:45" x14ac:dyDescent="0.35">
      <c r="A428" s="14"/>
      <c r="B428" s="14"/>
      <c r="C428" s="14"/>
      <c r="D428" s="14"/>
      <c r="E428" s="14"/>
      <c r="F428" s="14"/>
      <c r="G428" s="14"/>
      <c r="H428" s="14"/>
      <c r="I428" s="14"/>
      <c r="J428" s="14"/>
      <c r="K428" s="14"/>
      <c r="L428" s="14"/>
      <c r="M428" s="14"/>
      <c r="N428" s="14"/>
      <c r="O428" s="14"/>
      <c r="P428" s="14"/>
      <c r="Q428" s="14"/>
      <c r="AS428" s="94">
        <v>7412</v>
      </c>
    </row>
    <row r="429" spans="1:45" x14ac:dyDescent="0.35">
      <c r="A429" s="14"/>
      <c r="B429" s="14"/>
      <c r="C429" s="14"/>
      <c r="D429" s="14"/>
      <c r="E429" s="14"/>
      <c r="F429" s="14"/>
      <c r="G429" s="14"/>
      <c r="H429" s="14"/>
      <c r="I429" s="14"/>
      <c r="J429" s="14"/>
      <c r="K429" s="14"/>
      <c r="L429" s="14"/>
      <c r="M429" s="14"/>
      <c r="N429" s="14"/>
      <c r="O429" s="14"/>
      <c r="P429" s="14"/>
      <c r="Q429" s="14"/>
      <c r="AS429" s="94">
        <v>7413</v>
      </c>
    </row>
    <row r="430" spans="1:45" x14ac:dyDescent="0.35">
      <c r="A430" s="14"/>
      <c r="B430" s="14"/>
      <c r="C430" s="14"/>
      <c r="D430" s="14"/>
      <c r="E430" s="14"/>
      <c r="F430" s="14"/>
      <c r="G430" s="14"/>
      <c r="H430" s="14"/>
      <c r="I430" s="14"/>
      <c r="J430" s="14"/>
      <c r="K430" s="14"/>
      <c r="L430" s="14"/>
      <c r="M430" s="14"/>
      <c r="N430" s="14"/>
      <c r="O430" s="14"/>
      <c r="P430" s="14"/>
      <c r="Q430" s="14"/>
      <c r="AS430" s="94">
        <v>7414</v>
      </c>
    </row>
    <row r="431" spans="1:45" x14ac:dyDescent="0.35">
      <c r="A431" s="14"/>
      <c r="B431" s="14"/>
      <c r="C431" s="14"/>
      <c r="D431" s="14"/>
      <c r="E431" s="14"/>
      <c r="F431" s="14"/>
      <c r="G431" s="14"/>
      <c r="H431" s="14"/>
      <c r="I431" s="14"/>
      <c r="J431" s="14"/>
      <c r="K431" s="14"/>
      <c r="L431" s="14"/>
      <c r="M431" s="14"/>
      <c r="N431" s="14"/>
      <c r="O431" s="14"/>
      <c r="P431" s="14"/>
      <c r="Q431" s="14"/>
      <c r="AS431" s="94">
        <v>7415</v>
      </c>
    </row>
    <row r="432" spans="1:45" x14ac:dyDescent="0.35">
      <c r="A432" s="14"/>
      <c r="B432" s="14"/>
      <c r="C432" s="14"/>
      <c r="D432" s="14"/>
      <c r="E432" s="14"/>
      <c r="F432" s="14"/>
      <c r="G432" s="14"/>
      <c r="H432" s="14"/>
      <c r="I432" s="14"/>
      <c r="J432" s="14"/>
      <c r="K432" s="14"/>
      <c r="L432" s="14"/>
      <c r="M432" s="14"/>
      <c r="N432" s="14"/>
      <c r="O432" s="14"/>
      <c r="P432" s="14"/>
      <c r="Q432" s="14"/>
      <c r="AS432" s="94">
        <v>7416</v>
      </c>
    </row>
    <row r="433" spans="1:45" x14ac:dyDescent="0.35">
      <c r="A433" s="14"/>
      <c r="B433" s="14"/>
      <c r="C433" s="14"/>
      <c r="D433" s="14"/>
      <c r="E433" s="14"/>
      <c r="F433" s="14"/>
      <c r="G433" s="14"/>
      <c r="H433" s="14"/>
      <c r="I433" s="14"/>
      <c r="J433" s="14"/>
      <c r="K433" s="14"/>
      <c r="L433" s="14"/>
      <c r="M433" s="14"/>
      <c r="N433" s="14"/>
      <c r="O433" s="14"/>
      <c r="P433" s="14"/>
      <c r="Q433" s="14"/>
      <c r="AS433" s="94">
        <v>7417</v>
      </c>
    </row>
    <row r="434" spans="1:45" x14ac:dyDescent="0.35">
      <c r="A434" s="14"/>
      <c r="B434" s="14"/>
      <c r="C434" s="14"/>
      <c r="D434" s="14"/>
      <c r="E434" s="14"/>
      <c r="F434" s="14"/>
      <c r="G434" s="14"/>
      <c r="H434" s="14"/>
      <c r="I434" s="14"/>
      <c r="J434" s="14"/>
      <c r="K434" s="14"/>
      <c r="L434" s="14"/>
      <c r="M434" s="14"/>
      <c r="N434" s="14"/>
      <c r="O434" s="14"/>
      <c r="P434" s="14"/>
      <c r="Q434" s="14"/>
      <c r="AS434" s="94">
        <v>7418</v>
      </c>
    </row>
    <row r="435" spans="1:45" x14ac:dyDescent="0.35">
      <c r="A435" s="14"/>
      <c r="B435" s="14"/>
      <c r="C435" s="14"/>
      <c r="D435" s="14"/>
      <c r="E435" s="14"/>
      <c r="F435" s="14"/>
      <c r="G435" s="14"/>
      <c r="H435" s="14"/>
      <c r="I435" s="14"/>
      <c r="J435" s="14"/>
      <c r="K435" s="14"/>
      <c r="L435" s="14"/>
      <c r="M435" s="14"/>
      <c r="N435" s="14"/>
      <c r="O435" s="14"/>
      <c r="P435" s="14"/>
      <c r="Q435" s="14"/>
      <c r="AS435" s="94">
        <v>7421</v>
      </c>
    </row>
    <row r="436" spans="1:45" x14ac:dyDescent="0.35">
      <c r="A436" s="14"/>
      <c r="B436" s="14"/>
      <c r="C436" s="14"/>
      <c r="D436" s="14"/>
      <c r="E436" s="14"/>
      <c r="F436" s="14"/>
      <c r="G436" s="14"/>
      <c r="H436" s="14"/>
      <c r="I436" s="14"/>
      <c r="J436" s="14"/>
      <c r="K436" s="14"/>
      <c r="L436" s="14"/>
      <c r="M436" s="14"/>
      <c r="N436" s="14"/>
      <c r="O436" s="14"/>
      <c r="P436" s="14"/>
      <c r="Q436" s="14"/>
      <c r="AS436" s="94">
        <v>7422</v>
      </c>
    </row>
    <row r="437" spans="1:45" x14ac:dyDescent="0.35">
      <c r="AS437" s="94">
        <v>7431</v>
      </c>
    </row>
    <row r="438" spans="1:45" x14ac:dyDescent="0.35">
      <c r="AS438" s="94">
        <v>7441</v>
      </c>
    </row>
    <row r="439" spans="1:45" x14ac:dyDescent="0.35">
      <c r="AS439" s="94">
        <v>7442</v>
      </c>
    </row>
    <row r="440" spans="1:45" x14ac:dyDescent="0.35">
      <c r="AS440" s="94">
        <v>7443</v>
      </c>
    </row>
    <row r="441" spans="1:45" x14ac:dyDescent="0.35">
      <c r="AS441" s="94">
        <v>7444</v>
      </c>
    </row>
    <row r="442" spans="1:45" x14ac:dyDescent="0.35">
      <c r="AS442" s="94">
        <v>7445</v>
      </c>
    </row>
    <row r="443" spans="1:45" x14ac:dyDescent="0.35">
      <c r="AS443" s="94">
        <v>7446</v>
      </c>
    </row>
    <row r="444" spans="1:45" x14ac:dyDescent="0.35">
      <c r="AS444" s="94">
        <v>7447</v>
      </c>
    </row>
    <row r="445" spans="1:45" x14ac:dyDescent="0.35">
      <c r="AS445" s="94">
        <v>7511</v>
      </c>
    </row>
    <row r="446" spans="1:45" x14ac:dyDescent="0.35">
      <c r="AS446" s="94">
        <v>7512</v>
      </c>
    </row>
    <row r="447" spans="1:45" x14ac:dyDescent="0.35">
      <c r="AS447" s="94">
        <v>7513</v>
      </c>
    </row>
    <row r="448" spans="1:45" x14ac:dyDescent="0.35">
      <c r="AS448" s="94">
        <v>7514</v>
      </c>
    </row>
    <row r="449" spans="18:45" x14ac:dyDescent="0.35">
      <c r="AS449" s="94">
        <v>7515</v>
      </c>
    </row>
    <row r="450" spans="18:45" x14ac:dyDescent="0.35">
      <c r="AS450" s="94">
        <v>7516</v>
      </c>
    </row>
    <row r="451" spans="18:45" x14ac:dyDescent="0.35">
      <c r="R451" s="9"/>
      <c r="AS451" s="94">
        <v>7517</v>
      </c>
    </row>
    <row r="452" spans="18:45" x14ac:dyDescent="0.35">
      <c r="R452" s="9"/>
      <c r="AS452" s="94">
        <v>7518</v>
      </c>
    </row>
    <row r="453" spans="18:45" x14ac:dyDescent="0.35">
      <c r="R453" s="9"/>
      <c r="AS453" s="94">
        <v>7521</v>
      </c>
    </row>
    <row r="454" spans="18:45" x14ac:dyDescent="0.35">
      <c r="R454" s="9"/>
      <c r="AS454" s="94">
        <v>7522</v>
      </c>
    </row>
    <row r="455" spans="18:45" x14ac:dyDescent="0.35">
      <c r="R455" s="9"/>
      <c r="AS455" s="94">
        <v>7523</v>
      </c>
    </row>
    <row r="456" spans="18:45" x14ac:dyDescent="0.35">
      <c r="R456" s="9"/>
      <c r="AS456" s="94">
        <v>7524</v>
      </c>
    </row>
    <row r="457" spans="18:45" x14ac:dyDescent="0.35">
      <c r="R457" s="9"/>
      <c r="AS457" s="94">
        <v>7531</v>
      </c>
    </row>
    <row r="458" spans="18:45" x14ac:dyDescent="0.35">
      <c r="R458" s="9"/>
      <c r="AS458" s="94">
        <v>7532</v>
      </c>
    </row>
    <row r="459" spans="18:45" x14ac:dyDescent="0.35">
      <c r="R459" s="9"/>
      <c r="AS459" s="94">
        <v>7541</v>
      </c>
    </row>
    <row r="460" spans="18:45" x14ac:dyDescent="0.35">
      <c r="R460" s="9"/>
      <c r="AS460" s="94">
        <v>7542</v>
      </c>
    </row>
    <row r="461" spans="18:45" x14ac:dyDescent="0.35">
      <c r="R461" s="9"/>
      <c r="AS461" s="94">
        <v>7543</v>
      </c>
    </row>
    <row r="462" spans="18:45" x14ac:dyDescent="0.35">
      <c r="R462" s="9"/>
      <c r="AS462" s="94">
        <v>7601</v>
      </c>
    </row>
    <row r="463" spans="18:45" x14ac:dyDescent="0.35">
      <c r="R463" s="9"/>
      <c r="AS463" s="94">
        <v>7602</v>
      </c>
    </row>
    <row r="464" spans="18:45" x14ac:dyDescent="0.35">
      <c r="R464" s="9"/>
      <c r="AS464" s="94">
        <v>7603</v>
      </c>
    </row>
    <row r="465" spans="18:45" x14ac:dyDescent="0.35">
      <c r="R465" s="9"/>
      <c r="AS465" s="94">
        <v>7604</v>
      </c>
    </row>
    <row r="466" spans="18:45" x14ac:dyDescent="0.35">
      <c r="R466" s="9"/>
      <c r="AS466" s="94">
        <v>7605</v>
      </c>
    </row>
    <row r="467" spans="18:45" x14ac:dyDescent="0.35">
      <c r="R467" s="9"/>
      <c r="AS467" s="94">
        <v>7606</v>
      </c>
    </row>
    <row r="468" spans="18:45" x14ac:dyDescent="0.35">
      <c r="R468" s="9"/>
      <c r="AS468" s="94">
        <v>8111</v>
      </c>
    </row>
    <row r="469" spans="18:45" x14ac:dyDescent="0.35">
      <c r="R469" s="9"/>
      <c r="AS469" s="94">
        <v>8112</v>
      </c>
    </row>
    <row r="470" spans="18:45" x14ac:dyDescent="0.35">
      <c r="R470" s="9"/>
      <c r="AS470" s="94">
        <v>8114</v>
      </c>
    </row>
    <row r="471" spans="18:45" x14ac:dyDescent="0.35">
      <c r="R471" s="9"/>
      <c r="AS471" s="94">
        <v>8121</v>
      </c>
    </row>
    <row r="472" spans="18:45" x14ac:dyDescent="0.35">
      <c r="R472" s="9"/>
      <c r="AS472" s="94">
        <v>8122</v>
      </c>
    </row>
    <row r="473" spans="18:45" x14ac:dyDescent="0.35">
      <c r="R473" s="9"/>
      <c r="AS473" s="94">
        <v>8123</v>
      </c>
    </row>
    <row r="474" spans="18:45" x14ac:dyDescent="0.35">
      <c r="R474" s="9"/>
      <c r="AS474" s="94">
        <v>8131</v>
      </c>
    </row>
    <row r="475" spans="18:45" x14ac:dyDescent="0.35">
      <c r="R475" s="9"/>
      <c r="AS475" s="94">
        <v>8132</v>
      </c>
    </row>
    <row r="476" spans="18:45" x14ac:dyDescent="0.35">
      <c r="R476" s="9"/>
      <c r="AS476" s="94">
        <v>8133</v>
      </c>
    </row>
    <row r="477" spans="18:45" x14ac:dyDescent="0.35">
      <c r="R477" s="9"/>
      <c r="AS477" s="94">
        <v>8211</v>
      </c>
    </row>
    <row r="478" spans="18:45" x14ac:dyDescent="0.35">
      <c r="R478" s="9"/>
      <c r="AS478" s="94">
        <v>8221</v>
      </c>
    </row>
    <row r="479" spans="18:45" x14ac:dyDescent="0.35">
      <c r="R479" s="9"/>
      <c r="AS479" s="94">
        <v>8231</v>
      </c>
    </row>
    <row r="480" spans="18:45" x14ac:dyDescent="0.35">
      <c r="R480" s="9"/>
      <c r="AS480" s="94">
        <v>8232</v>
      </c>
    </row>
    <row r="481" spans="18:45" x14ac:dyDescent="0.35">
      <c r="R481" s="9"/>
      <c r="AS481" s="94">
        <v>8241</v>
      </c>
    </row>
    <row r="482" spans="18:45" x14ac:dyDescent="0.35">
      <c r="R482" s="9"/>
      <c r="AS482" s="94">
        <v>8261</v>
      </c>
    </row>
    <row r="483" spans="18:45" x14ac:dyDescent="0.35">
      <c r="R483" s="9"/>
      <c r="AS483" s="94">
        <v>8271</v>
      </c>
    </row>
    <row r="484" spans="18:45" x14ac:dyDescent="0.35">
      <c r="R484" s="9"/>
      <c r="AS484" s="94">
        <v>8311</v>
      </c>
    </row>
    <row r="485" spans="18:45" x14ac:dyDescent="0.35">
      <c r="R485" s="9"/>
      <c r="AS485" s="94">
        <v>8312</v>
      </c>
    </row>
    <row r="486" spans="18:45" x14ac:dyDescent="0.35">
      <c r="R486" s="9"/>
      <c r="AS486" s="94">
        <v>8313</v>
      </c>
    </row>
    <row r="487" spans="18:45" x14ac:dyDescent="0.35">
      <c r="R487" s="9"/>
      <c r="AS487" s="94">
        <v>8314</v>
      </c>
    </row>
    <row r="488" spans="18:45" x14ac:dyDescent="0.35">
      <c r="R488" s="9"/>
      <c r="AS488" s="94">
        <v>8315</v>
      </c>
    </row>
    <row r="489" spans="18:45" x14ac:dyDescent="0.35">
      <c r="R489" s="9"/>
      <c r="AS489" s="94">
        <v>8316</v>
      </c>
    </row>
    <row r="490" spans="18:45" x14ac:dyDescent="0.35">
      <c r="R490" s="9"/>
      <c r="AS490" s="94">
        <v>8321</v>
      </c>
    </row>
    <row r="491" spans="18:45" x14ac:dyDescent="0.35">
      <c r="R491" s="9"/>
      <c r="AS491" s="94">
        <v>8331</v>
      </c>
    </row>
    <row r="492" spans="18:45" x14ac:dyDescent="0.35">
      <c r="R492" s="9"/>
      <c r="AS492" s="94">
        <v>8332</v>
      </c>
    </row>
    <row r="493" spans="18:45" x14ac:dyDescent="0.35">
      <c r="R493" s="9"/>
      <c r="AS493" s="94">
        <v>8333</v>
      </c>
    </row>
    <row r="494" spans="18:45" x14ac:dyDescent="0.35">
      <c r="R494" s="9"/>
      <c r="AS494" s="94">
        <v>8334</v>
      </c>
    </row>
    <row r="495" spans="18:45" x14ac:dyDescent="0.35">
      <c r="R495" s="9"/>
      <c r="AS495" s="94">
        <v>8411</v>
      </c>
    </row>
    <row r="496" spans="18:45" x14ac:dyDescent="0.35">
      <c r="R496" s="9"/>
      <c r="AS496" s="94">
        <v>8412</v>
      </c>
    </row>
    <row r="497" spans="18:45" x14ac:dyDescent="0.35">
      <c r="R497" s="9"/>
      <c r="AS497" s="94">
        <v>8413</v>
      </c>
    </row>
    <row r="498" spans="18:45" x14ac:dyDescent="0.35">
      <c r="R498" s="9"/>
      <c r="AS498" s="94">
        <v>8414</v>
      </c>
    </row>
    <row r="499" spans="18:45" x14ac:dyDescent="0.35">
      <c r="R499" s="9"/>
      <c r="AS499" s="94">
        <v>8415</v>
      </c>
    </row>
    <row r="500" spans="18:45" x14ac:dyDescent="0.35">
      <c r="R500" s="9"/>
      <c r="AS500" s="94">
        <v>8421</v>
      </c>
    </row>
    <row r="501" spans="18:45" x14ac:dyDescent="0.35">
      <c r="R501" s="9"/>
      <c r="AS501" s="94">
        <v>8422</v>
      </c>
    </row>
    <row r="502" spans="18:45" x14ac:dyDescent="0.35">
      <c r="R502" s="9"/>
      <c r="AS502" s="94">
        <v>8431</v>
      </c>
    </row>
    <row r="503" spans="18:45" x14ac:dyDescent="0.35">
      <c r="R503" s="9"/>
      <c r="AS503" s="94">
        <v>8432</v>
      </c>
    </row>
    <row r="504" spans="18:45" x14ac:dyDescent="0.35">
      <c r="R504" s="9"/>
      <c r="AS504" s="94">
        <v>8433</v>
      </c>
    </row>
    <row r="505" spans="18:45" x14ac:dyDescent="0.35">
      <c r="R505" s="9"/>
      <c r="AS505" s="94">
        <v>8434</v>
      </c>
    </row>
    <row r="506" spans="18:45" x14ac:dyDescent="0.35">
      <c r="R506" s="9"/>
      <c r="AS506" s="94">
        <v>8435</v>
      </c>
    </row>
    <row r="507" spans="18:45" x14ac:dyDescent="0.35">
      <c r="R507" s="9"/>
      <c r="AS507" s="94">
        <v>8441</v>
      </c>
    </row>
    <row r="508" spans="18:45" x14ac:dyDescent="0.35">
      <c r="R508" s="9"/>
      <c r="AS508" s="94">
        <v>8442</v>
      </c>
    </row>
    <row r="509" spans="18:45" x14ac:dyDescent="0.35">
      <c r="R509" s="9"/>
      <c r="AS509" s="94">
        <v>8443</v>
      </c>
    </row>
    <row r="510" spans="18:45" x14ac:dyDescent="0.35">
      <c r="R510" s="9"/>
      <c r="AS510" s="94">
        <v>8451</v>
      </c>
    </row>
    <row r="511" spans="18:45" x14ac:dyDescent="0.35">
      <c r="R511" s="9"/>
      <c r="AS511" s="94">
        <v>8452</v>
      </c>
    </row>
    <row r="512" spans="18:45" x14ac:dyDescent="0.35">
      <c r="R512" s="9"/>
      <c r="AS512" s="94">
        <v>8511</v>
      </c>
    </row>
    <row r="513" spans="18:45" x14ac:dyDescent="0.35">
      <c r="R513" s="9"/>
      <c r="AS513" s="94">
        <v>8512</v>
      </c>
    </row>
    <row r="514" spans="18:45" x14ac:dyDescent="0.35">
      <c r="R514" s="9"/>
      <c r="AS514" s="94">
        <v>8513</v>
      </c>
    </row>
    <row r="515" spans="18:45" x14ac:dyDescent="0.35">
      <c r="R515" s="9"/>
      <c r="AS515" s="94">
        <v>8514</v>
      </c>
    </row>
    <row r="516" spans="18:45" x14ac:dyDescent="0.35">
      <c r="R516" s="9"/>
      <c r="AS516" s="94">
        <v>8521</v>
      </c>
    </row>
    <row r="517" spans="18:45" x14ac:dyDescent="0.35">
      <c r="R517" s="9"/>
      <c r="AS517" s="94">
        <v>8522</v>
      </c>
    </row>
    <row r="518" spans="18:45" x14ac:dyDescent="0.35">
      <c r="R518" s="9"/>
      <c r="AS518" s="94">
        <v>8523</v>
      </c>
    </row>
    <row r="519" spans="18:45" x14ac:dyDescent="0.35">
      <c r="R519" s="9"/>
      <c r="AS519" s="94">
        <v>8524</v>
      </c>
    </row>
    <row r="520" spans="18:45" x14ac:dyDescent="0.35">
      <c r="R520" s="9"/>
      <c r="AS520" s="94">
        <v>8525</v>
      </c>
    </row>
    <row r="521" spans="18:45" x14ac:dyDescent="0.35">
      <c r="R521" s="9"/>
      <c r="AS521" s="94">
        <v>8526</v>
      </c>
    </row>
    <row r="522" spans="18:45" x14ac:dyDescent="0.35">
      <c r="R522" s="9"/>
      <c r="AS522" s="94">
        <v>8531</v>
      </c>
    </row>
    <row r="523" spans="18:45" x14ac:dyDescent="0.35">
      <c r="R523" s="9"/>
      <c r="AS523" s="94">
        <v>8541</v>
      </c>
    </row>
    <row r="524" spans="18:45" x14ac:dyDescent="0.35">
      <c r="R524" s="9"/>
      <c r="AS524" s="94">
        <v>8601</v>
      </c>
    </row>
    <row r="525" spans="18:45" x14ac:dyDescent="0.35">
      <c r="R525" s="9"/>
      <c r="AS525" s="94">
        <v>8611</v>
      </c>
    </row>
    <row r="526" spans="18:45" x14ac:dyDescent="0.35">
      <c r="R526" s="9"/>
      <c r="AS526" s="94">
        <v>8612</v>
      </c>
    </row>
    <row r="527" spans="18:45" x14ac:dyDescent="0.35">
      <c r="R527" s="9"/>
      <c r="AS527" s="94">
        <v>8711</v>
      </c>
    </row>
    <row r="528" spans="18:45" x14ac:dyDescent="0.35">
      <c r="R528" s="9"/>
      <c r="AS528" s="94">
        <v>8712</v>
      </c>
    </row>
    <row r="529" spans="18:45" x14ac:dyDescent="0.35">
      <c r="R529" s="9"/>
      <c r="AS529" s="94">
        <v>8713</v>
      </c>
    </row>
    <row r="530" spans="18:45" x14ac:dyDescent="0.35">
      <c r="R530" s="9"/>
      <c r="AS530" s="94">
        <v>8714</v>
      </c>
    </row>
    <row r="531" spans="18:45" x14ac:dyDescent="0.35">
      <c r="R531" s="9"/>
      <c r="AS531" s="94">
        <v>8715</v>
      </c>
    </row>
    <row r="532" spans="18:45" x14ac:dyDescent="0.35">
      <c r="R532" s="9"/>
      <c r="AS532" s="94">
        <v>8721</v>
      </c>
    </row>
    <row r="533" spans="18:45" x14ac:dyDescent="0.35">
      <c r="R533" s="9"/>
      <c r="AS533" s="94">
        <v>8722</v>
      </c>
    </row>
    <row r="534" spans="18:45" x14ac:dyDescent="0.35">
      <c r="R534" s="9"/>
      <c r="AS534" s="94">
        <v>8811</v>
      </c>
    </row>
    <row r="535" spans="18:45" x14ac:dyDescent="0.35">
      <c r="R535" s="9"/>
      <c r="AS535" s="94">
        <v>8821</v>
      </c>
    </row>
    <row r="536" spans="18:45" x14ac:dyDescent="0.35">
      <c r="R536" s="9"/>
      <c r="AS536" s="94">
        <v>8910</v>
      </c>
    </row>
    <row r="537" spans="18:45" x14ac:dyDescent="0.35">
      <c r="R537" s="9"/>
      <c r="AS537" s="94">
        <v>8921</v>
      </c>
    </row>
    <row r="538" spans="18:45" x14ac:dyDescent="0.35">
      <c r="R538" s="9"/>
      <c r="AS538" s="94">
        <v>8922</v>
      </c>
    </row>
    <row r="539" spans="18:45" x14ac:dyDescent="0.35">
      <c r="R539" s="9"/>
      <c r="AS539" s="94">
        <v>8923</v>
      </c>
    </row>
    <row r="540" spans="18:45" x14ac:dyDescent="0.35">
      <c r="R540" s="9"/>
      <c r="AS540" s="94">
        <v>8924</v>
      </c>
    </row>
    <row r="541" spans="18:45" x14ac:dyDescent="0.35">
      <c r="R541" s="9"/>
      <c r="AS541" s="94">
        <v>8925</v>
      </c>
    </row>
    <row r="542" spans="18:45" x14ac:dyDescent="0.35">
      <c r="R542" s="9"/>
      <c r="AS542" s="94">
        <v>8926</v>
      </c>
    </row>
    <row r="543" spans="18:45" x14ac:dyDescent="0.35">
      <c r="R543" s="9"/>
      <c r="AS543" s="94">
        <v>8927</v>
      </c>
    </row>
    <row r="544" spans="18:45" x14ac:dyDescent="0.35">
      <c r="R544" s="9"/>
      <c r="AS544" s="94">
        <v>8928</v>
      </c>
    </row>
    <row r="545" spans="18:45" x14ac:dyDescent="0.35">
      <c r="R545" s="9"/>
      <c r="AS545" s="94">
        <v>8929</v>
      </c>
    </row>
    <row r="546" spans="18:45" x14ac:dyDescent="0.35">
      <c r="R546" s="9"/>
      <c r="AS546" s="94">
        <v>8930</v>
      </c>
    </row>
    <row r="547" spans="18:45" x14ac:dyDescent="0.35">
      <c r="R547" s="9"/>
      <c r="AS547" s="94">
        <v>8931</v>
      </c>
    </row>
    <row r="548" spans="18:45" x14ac:dyDescent="0.35">
      <c r="R548" s="9"/>
      <c r="AS548" s="94">
        <v>8932</v>
      </c>
    </row>
    <row r="549" spans="18:45" x14ac:dyDescent="0.35">
      <c r="R549" s="9"/>
      <c r="AS549" s="94">
        <v>8951</v>
      </c>
    </row>
    <row r="550" spans="18:45" x14ac:dyDescent="0.35">
      <c r="R550" s="9"/>
      <c r="AS550" s="94">
        <v>9351</v>
      </c>
    </row>
    <row r="551" spans="18:45" x14ac:dyDescent="0.35">
      <c r="R551" s="9"/>
      <c r="AS551" s="94" t="s">
        <v>2291</v>
      </c>
    </row>
    <row r="552" spans="18:45" x14ac:dyDescent="0.35">
      <c r="R552" s="9"/>
    </row>
    <row r="553" spans="18:45" x14ac:dyDescent="0.35">
      <c r="R553" s="9"/>
    </row>
  </sheetData>
  <mergeCells count="24">
    <mergeCell ref="A307:Q307"/>
    <mergeCell ref="A296:Q296"/>
    <mergeCell ref="A297:Q297"/>
    <mergeCell ref="A298:Q298"/>
    <mergeCell ref="A299:Q299"/>
    <mergeCell ref="A300:Q300"/>
    <mergeCell ref="A301:Q301"/>
    <mergeCell ref="A302:Q302"/>
    <mergeCell ref="A303:Q303"/>
    <mergeCell ref="A304:Q304"/>
    <mergeCell ref="A305:Q305"/>
    <mergeCell ref="A306:Q306"/>
    <mergeCell ref="A295:Q295"/>
    <mergeCell ref="A1:D2"/>
    <mergeCell ref="E1:G1"/>
    <mergeCell ref="H1:N1"/>
    <mergeCell ref="P1:Q1"/>
    <mergeCell ref="A288:Q288"/>
    <mergeCell ref="A289:Q289"/>
    <mergeCell ref="A290:Q290"/>
    <mergeCell ref="A291:Q291"/>
    <mergeCell ref="A292:Q292"/>
    <mergeCell ref="A293:Q293"/>
    <mergeCell ref="A294:Q294"/>
  </mergeCells>
  <pageMargins left="0.25" right="0.25" top="1" bottom="0.25" header="0.05" footer="0.05"/>
  <pageSetup paperSize="3" scale="5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F465-154A-4528-AD25-20270FC2055F}">
  <sheetPr codeName="Sheet5">
    <tabColor theme="4" tint="0.79998168889431442"/>
  </sheetPr>
  <dimension ref="A1:G18"/>
  <sheetViews>
    <sheetView workbookViewId="0">
      <selection activeCell="F5" sqref="F5"/>
    </sheetView>
  </sheetViews>
  <sheetFormatPr defaultRowHeight="14.5" x14ac:dyDescent="0.35"/>
  <cols>
    <col min="2" max="5" width="23.81640625" customWidth="1"/>
    <col min="6" max="6" width="29.1796875" customWidth="1"/>
    <col min="7" max="7" width="11.81640625" customWidth="1"/>
  </cols>
  <sheetData>
    <row r="1" spans="1:7" ht="15" thickBot="1" x14ac:dyDescent="0.4">
      <c r="A1" s="1826" t="s">
        <v>2292</v>
      </c>
      <c r="B1" s="1826"/>
      <c r="C1" s="1826"/>
      <c r="D1" s="1826"/>
      <c r="E1" s="1826"/>
      <c r="F1" s="1826"/>
    </row>
    <row r="2" spans="1:7" ht="15" thickBot="1" x14ac:dyDescent="0.4">
      <c r="A2" s="22" t="s">
        <v>2293</v>
      </c>
      <c r="B2" s="23" t="s">
        <v>2294</v>
      </c>
      <c r="C2" s="23" t="s">
        <v>2295</v>
      </c>
      <c r="D2" s="23" t="s">
        <v>2296</v>
      </c>
      <c r="E2" s="23" t="s">
        <v>2297</v>
      </c>
      <c r="F2" s="24" t="s">
        <v>2298</v>
      </c>
    </row>
    <row r="3" spans="1:7" ht="116.5" thickBot="1" x14ac:dyDescent="0.4">
      <c r="A3" s="25" t="s">
        <v>2299</v>
      </c>
      <c r="B3" s="25" t="s">
        <v>2300</v>
      </c>
      <c r="C3" s="25" t="s">
        <v>2301</v>
      </c>
      <c r="D3" s="25" t="s">
        <v>2302</v>
      </c>
      <c r="E3" s="25" t="s">
        <v>2303</v>
      </c>
      <c r="F3" s="25" t="s">
        <v>2505</v>
      </c>
      <c r="G3" s="44"/>
    </row>
    <row r="4" spans="1:7" ht="73" thickBot="1" x14ac:dyDescent="0.4">
      <c r="A4" s="27" t="s">
        <v>2001</v>
      </c>
      <c r="B4" s="28" t="s">
        <v>2304</v>
      </c>
      <c r="C4" s="28" t="s">
        <v>2305</v>
      </c>
      <c r="D4" s="28" t="s">
        <v>2302</v>
      </c>
      <c r="E4" s="28" t="s">
        <v>2303</v>
      </c>
      <c r="F4" s="28" t="s">
        <v>2854</v>
      </c>
    </row>
    <row r="5" spans="1:7" ht="102" thickBot="1" x14ac:dyDescent="0.4">
      <c r="A5" s="27" t="s">
        <v>2306</v>
      </c>
      <c r="B5" s="28" t="s">
        <v>2307</v>
      </c>
      <c r="C5" s="28" t="s">
        <v>2308</v>
      </c>
      <c r="D5" s="28" t="s">
        <v>2309</v>
      </c>
      <c r="E5" s="28" t="s">
        <v>2310</v>
      </c>
      <c r="F5" s="28" t="s">
        <v>2311</v>
      </c>
    </row>
    <row r="6" spans="1:7" ht="87.5" thickBot="1" x14ac:dyDescent="0.4">
      <c r="A6" s="25" t="s">
        <v>1993</v>
      </c>
      <c r="B6" s="26" t="s">
        <v>2312</v>
      </c>
      <c r="C6" s="26" t="s">
        <v>2313</v>
      </c>
      <c r="D6" s="25" t="s">
        <v>2314</v>
      </c>
      <c r="E6" s="26" t="s">
        <v>2315</v>
      </c>
      <c r="F6" s="25" t="s">
        <v>2450</v>
      </c>
    </row>
    <row r="7" spans="1:7" x14ac:dyDescent="0.35">
      <c r="A7" s="2"/>
    </row>
    <row r="8" spans="1:7" ht="366.75" customHeight="1" x14ac:dyDescent="0.35">
      <c r="A8" s="1827" t="s">
        <v>2316</v>
      </c>
      <c r="B8" s="1827"/>
      <c r="C8" s="1827"/>
      <c r="D8" s="1827"/>
      <c r="E8" s="1827"/>
      <c r="F8" s="273"/>
    </row>
    <row r="9" spans="1:7" ht="192" customHeight="1" x14ac:dyDescent="0.35">
      <c r="A9" s="1824" t="s">
        <v>2317</v>
      </c>
      <c r="B9" s="1825"/>
      <c r="C9" s="1825"/>
      <c r="D9" s="1825"/>
      <c r="E9" s="1825"/>
      <c r="F9" s="274" t="s">
        <v>2318</v>
      </c>
    </row>
    <row r="10" spans="1:7" ht="210" customHeight="1" x14ac:dyDescent="0.35">
      <c r="A10" s="1824" t="s">
        <v>2319</v>
      </c>
      <c r="B10" s="1825"/>
      <c r="C10" s="1825"/>
      <c r="D10" s="1825"/>
      <c r="E10" s="1825"/>
      <c r="F10" s="275" t="s">
        <v>2320</v>
      </c>
    </row>
    <row r="11" spans="1:7" ht="130.5" x14ac:dyDescent="0.35">
      <c r="A11" s="1824" t="s">
        <v>2321</v>
      </c>
      <c r="B11" s="1825"/>
      <c r="C11" s="1825"/>
      <c r="D11" s="1825"/>
      <c r="E11" s="1825"/>
      <c r="F11" s="276" t="s">
        <v>2513</v>
      </c>
    </row>
    <row r="12" spans="1:7" ht="75.75" customHeight="1" x14ac:dyDescent="0.35">
      <c r="A12" s="1828" t="s">
        <v>2507</v>
      </c>
      <c r="B12" s="1829"/>
      <c r="C12" s="1829"/>
      <c r="D12" s="1829"/>
      <c r="E12" s="1830"/>
      <c r="F12" s="276" t="s">
        <v>2506</v>
      </c>
    </row>
    <row r="13" spans="1:7" ht="133.5" customHeight="1" x14ac:dyDescent="0.35">
      <c r="A13" s="1824" t="s">
        <v>2322</v>
      </c>
      <c r="B13" s="1825"/>
      <c r="C13" s="1825"/>
      <c r="D13" s="1825"/>
      <c r="E13" s="1825"/>
      <c r="F13" s="277"/>
    </row>
    <row r="14" spans="1:7" ht="150" customHeight="1" x14ac:dyDescent="0.35">
      <c r="A14" s="1827" t="s">
        <v>2323</v>
      </c>
      <c r="B14" s="1831"/>
      <c r="C14" s="1831"/>
      <c r="D14" s="1831"/>
      <c r="E14" s="1831"/>
      <c r="F14" s="278"/>
    </row>
    <row r="15" spans="1:7" ht="22.5" customHeight="1" x14ac:dyDescent="0.35">
      <c r="A15" s="1832" t="s">
        <v>2324</v>
      </c>
      <c r="B15" s="1832"/>
      <c r="C15" s="1832"/>
      <c r="D15" s="1832"/>
      <c r="E15" s="1832"/>
      <c r="F15" s="1832"/>
    </row>
    <row r="16" spans="1:7" ht="18" customHeight="1" x14ac:dyDescent="0.35">
      <c r="A16" s="1827" t="s">
        <v>2325</v>
      </c>
      <c r="B16" s="1827"/>
      <c r="C16" s="1827"/>
      <c r="D16" s="1827"/>
      <c r="E16" s="1827"/>
      <c r="F16" s="1827"/>
    </row>
    <row r="17" spans="1:6" ht="78.75" customHeight="1" x14ac:dyDescent="0.35">
      <c r="A17" s="1827" t="s">
        <v>2451</v>
      </c>
      <c r="B17" s="1827"/>
      <c r="C17" s="1827"/>
      <c r="D17" s="1827"/>
      <c r="E17" s="1827"/>
      <c r="F17" s="1827"/>
    </row>
    <row r="18" spans="1:6" ht="60" customHeight="1" x14ac:dyDescent="0.35">
      <c r="A18" s="1827" t="s">
        <v>2326</v>
      </c>
      <c r="B18" s="1827"/>
      <c r="C18" s="1827"/>
      <c r="D18" s="1827"/>
      <c r="E18" s="1827"/>
      <c r="F18" s="1827"/>
    </row>
  </sheetData>
  <mergeCells count="12">
    <mergeCell ref="A14:E14"/>
    <mergeCell ref="A15:F15"/>
    <mergeCell ref="A16:F16"/>
    <mergeCell ref="A17:F17"/>
    <mergeCell ref="A18:F18"/>
    <mergeCell ref="A13:E13"/>
    <mergeCell ref="A1:F1"/>
    <mergeCell ref="A8:E8"/>
    <mergeCell ref="A9:E9"/>
    <mergeCell ref="A10:E10"/>
    <mergeCell ref="A11:E11"/>
    <mergeCell ref="A12:E12"/>
  </mergeCells>
  <hyperlinks>
    <hyperlink ref="A2" location="_ftn1" display="_ftn1" xr:uid="{F40F125B-B94B-4022-8A74-CED284F99347}"/>
    <hyperlink ref="F2" location="_ftn2" display="_ftn2" xr:uid="{2004F3FF-AF6A-46D1-909A-3EA9E05A636A}"/>
  </hyperlinks>
  <pageMargins left="0.7" right="0.7" top="0.75" bottom="0.75" header="0.3" footer="0.3"/>
  <pageSetup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EBD-DA31-4BB1-AE2C-8AC70606C72F}">
  <sheetPr codeName="Sheet6">
    <tabColor theme="4" tint="0.79998168889431442"/>
    <pageSetUpPr fitToPage="1"/>
  </sheetPr>
  <dimension ref="A1:P66"/>
  <sheetViews>
    <sheetView topLeftCell="A4" zoomScaleNormal="100" workbookViewId="0">
      <selection activeCell="Q20" sqref="Q20"/>
    </sheetView>
  </sheetViews>
  <sheetFormatPr defaultColWidth="9.1796875" defaultRowHeight="14.5" x14ac:dyDescent="0.35"/>
  <cols>
    <col min="1" max="1" width="9.1796875" style="9"/>
    <col min="2" max="2" width="49.1796875" style="9" customWidth="1"/>
    <col min="3" max="3" width="14.1796875" style="5" customWidth="1"/>
    <col min="4" max="4" width="10.1796875" style="5" customWidth="1"/>
    <col min="5" max="5" width="13" style="9" customWidth="1"/>
    <col min="6" max="6" width="14" style="5" customWidth="1"/>
    <col min="7" max="8" width="9.1796875" style="5"/>
    <col min="9" max="9" width="10.36328125" style="5" customWidth="1"/>
    <col min="10" max="10" width="10.81640625" style="5" customWidth="1"/>
    <col min="11" max="12" width="11.1796875" style="5" customWidth="1"/>
    <col min="13" max="13" width="11" style="5" customWidth="1"/>
    <col min="14" max="16384" width="9.1796875" style="9"/>
  </cols>
  <sheetData>
    <row r="1" spans="1:13" ht="36.75" customHeight="1" thickBot="1" x14ac:dyDescent="0.4">
      <c r="A1" s="1710" t="s">
        <v>2843</v>
      </c>
      <c r="B1" s="1711"/>
      <c r="C1" s="1711"/>
      <c r="D1" s="1711"/>
      <c r="E1" s="1711"/>
      <c r="F1" s="1711"/>
      <c r="G1" s="1711"/>
      <c r="H1" s="1711"/>
      <c r="I1" s="1711"/>
      <c r="J1" s="1711"/>
      <c r="K1" s="1711"/>
      <c r="L1" s="1711"/>
      <c r="M1" s="1712"/>
    </row>
    <row r="2" spans="1:13" ht="74.25" customHeight="1" x14ac:dyDescent="0.35">
      <c r="A2" s="29" t="s">
        <v>216</v>
      </c>
      <c r="B2" s="30" t="s">
        <v>2327</v>
      </c>
      <c r="C2" s="102" t="s">
        <v>2328</v>
      </c>
      <c r="D2" s="29" t="s">
        <v>2329</v>
      </c>
      <c r="E2" s="29" t="s">
        <v>2330</v>
      </c>
      <c r="F2" s="29" t="s">
        <v>2331</v>
      </c>
      <c r="G2" s="29" t="s">
        <v>2332</v>
      </c>
      <c r="H2" s="29" t="s">
        <v>2333</v>
      </c>
      <c r="I2" s="29" t="s">
        <v>2334</v>
      </c>
      <c r="J2" s="29" t="s">
        <v>2335</v>
      </c>
      <c r="K2" s="29" t="s">
        <v>2336</v>
      </c>
      <c r="L2" s="29" t="s">
        <v>2337</v>
      </c>
      <c r="M2" s="29" t="s">
        <v>2338</v>
      </c>
    </row>
    <row r="3" spans="1:13" x14ac:dyDescent="0.35">
      <c r="A3" s="237">
        <v>1431</v>
      </c>
      <c r="B3" s="238" t="s">
        <v>2000</v>
      </c>
      <c r="C3" s="239">
        <v>11775</v>
      </c>
      <c r="D3" s="136" t="s">
        <v>2001</v>
      </c>
      <c r="E3" s="220">
        <v>1.6</v>
      </c>
      <c r="F3" s="186">
        <v>0.08</v>
      </c>
      <c r="G3" s="222">
        <f>+E3+F3-1</f>
        <v>0.68000000000000016</v>
      </c>
      <c r="H3" s="222">
        <f>+G3/(E3+F3)</f>
        <v>0.40476190476190482</v>
      </c>
      <c r="I3" s="186">
        <v>150</v>
      </c>
      <c r="J3" s="222">
        <f>+C3/I3</f>
        <v>78.5</v>
      </c>
      <c r="K3" s="222">
        <f>+H3*J3</f>
        <v>31.773809523809529</v>
      </c>
      <c r="L3" s="222">
        <f>+K3/200</f>
        <v>0.15886904761904763</v>
      </c>
      <c r="M3" s="186">
        <v>1</v>
      </c>
    </row>
    <row r="4" spans="1:13" x14ac:dyDescent="0.35">
      <c r="A4" s="237">
        <v>1442</v>
      </c>
      <c r="B4" s="238" t="s">
        <v>2003</v>
      </c>
      <c r="C4" s="239">
        <v>15038</v>
      </c>
      <c r="D4" s="136" t="s">
        <v>2001</v>
      </c>
      <c r="E4" s="220">
        <v>1.21</v>
      </c>
      <c r="F4" s="186">
        <v>0.04</v>
      </c>
      <c r="G4" s="222">
        <f t="shared" ref="G4:G43" si="0">+E4+F4-1</f>
        <v>0.25</v>
      </c>
      <c r="H4" s="222">
        <f t="shared" ref="H4:H43" si="1">+G4/(E4+F4)</f>
        <v>0.2</v>
      </c>
      <c r="I4" s="186">
        <v>150</v>
      </c>
      <c r="J4" s="222">
        <f t="shared" ref="J4:J43" si="2">+C4/I4</f>
        <v>100.25333333333333</v>
      </c>
      <c r="K4" s="222">
        <f t="shared" ref="K4:K43" si="3">+H4*J4</f>
        <v>20.050666666666668</v>
      </c>
      <c r="L4" s="222">
        <f t="shared" ref="L4:L43" si="4">+K4/200</f>
        <v>0.10025333333333335</v>
      </c>
      <c r="M4" s="186">
        <f>ROUND(L4,0)</f>
        <v>0</v>
      </c>
    </row>
    <row r="5" spans="1:13" x14ac:dyDescent="0.35">
      <c r="A5" s="237">
        <v>1443</v>
      </c>
      <c r="B5" s="238" t="s">
        <v>2004</v>
      </c>
      <c r="C5" s="239">
        <v>9819</v>
      </c>
      <c r="D5" s="136" t="s">
        <v>1993</v>
      </c>
      <c r="E5" s="220">
        <v>1.1100000000000001</v>
      </c>
      <c r="F5" s="186">
        <v>0.02</v>
      </c>
      <c r="G5" s="222">
        <f t="shared" si="0"/>
        <v>0.13000000000000012</v>
      </c>
      <c r="H5" s="222">
        <f t="shared" si="1"/>
        <v>0.11504424778761072</v>
      </c>
      <c r="I5" s="186">
        <v>150</v>
      </c>
      <c r="J5" s="222">
        <f t="shared" si="2"/>
        <v>65.459999999999994</v>
      </c>
      <c r="K5" s="222">
        <f t="shared" si="3"/>
        <v>7.5307964601769966</v>
      </c>
      <c r="L5" s="222">
        <f t="shared" si="4"/>
        <v>3.7653982300884986E-2</v>
      </c>
      <c r="M5" s="186">
        <f>ROUND(L5,0)</f>
        <v>0</v>
      </c>
    </row>
    <row r="6" spans="1:13" x14ac:dyDescent="0.35">
      <c r="A6" s="237">
        <v>1446</v>
      </c>
      <c r="B6" s="238" t="s">
        <v>2005</v>
      </c>
      <c r="C6" s="239">
        <v>12839</v>
      </c>
      <c r="D6" s="136" t="s">
        <v>2339</v>
      </c>
      <c r="E6" s="240">
        <v>1.38</v>
      </c>
      <c r="F6" s="186">
        <v>0.05</v>
      </c>
      <c r="G6" s="222">
        <f t="shared" si="0"/>
        <v>0.42999999999999994</v>
      </c>
      <c r="H6" s="222">
        <f t="shared" si="1"/>
        <v>0.30069930069930068</v>
      </c>
      <c r="I6" s="186">
        <v>120</v>
      </c>
      <c r="J6" s="222">
        <f t="shared" si="2"/>
        <v>106.99166666666666</v>
      </c>
      <c r="K6" s="222">
        <f t="shared" si="3"/>
        <v>32.172319347319345</v>
      </c>
      <c r="L6" s="222">
        <f t="shared" si="4"/>
        <v>0.16086159673659672</v>
      </c>
      <c r="M6" s="186">
        <v>1</v>
      </c>
    </row>
    <row r="7" spans="1:13" x14ac:dyDescent="0.35">
      <c r="A7" s="237">
        <v>2112</v>
      </c>
      <c r="B7" s="238" t="s">
        <v>2059</v>
      </c>
      <c r="C7" s="239">
        <v>17421</v>
      </c>
      <c r="D7" s="136" t="s">
        <v>2340</v>
      </c>
      <c r="E7" s="220">
        <v>1.35</v>
      </c>
      <c r="F7" s="186">
        <v>0.02</v>
      </c>
      <c r="G7" s="222">
        <f t="shared" si="0"/>
        <v>0.37000000000000011</v>
      </c>
      <c r="H7" s="222">
        <f t="shared" si="1"/>
        <v>0.27007299270072999</v>
      </c>
      <c r="I7" s="186">
        <v>100</v>
      </c>
      <c r="J7" s="222">
        <f t="shared" si="2"/>
        <v>174.21</v>
      </c>
      <c r="K7" s="222">
        <f t="shared" si="3"/>
        <v>47.049416058394172</v>
      </c>
      <c r="L7" s="222">
        <f t="shared" si="4"/>
        <v>0.23524708029197086</v>
      </c>
      <c r="M7" s="186">
        <f t="shared" ref="M7:M43" si="5">ROUND(L7,0)</f>
        <v>0</v>
      </c>
    </row>
    <row r="8" spans="1:13" x14ac:dyDescent="0.35">
      <c r="A8" s="237">
        <v>2121</v>
      </c>
      <c r="B8" s="238" t="s">
        <v>2060</v>
      </c>
      <c r="C8" s="239">
        <v>13729</v>
      </c>
      <c r="D8" s="136" t="s">
        <v>2340</v>
      </c>
      <c r="E8" s="220">
        <v>1.21</v>
      </c>
      <c r="F8" s="186">
        <v>0.06</v>
      </c>
      <c r="G8" s="222">
        <f t="shared" si="0"/>
        <v>0.27</v>
      </c>
      <c r="H8" s="222">
        <f t="shared" si="1"/>
        <v>0.2125984251968504</v>
      </c>
      <c r="I8" s="186">
        <v>100</v>
      </c>
      <c r="J8" s="222">
        <f t="shared" si="2"/>
        <v>137.29</v>
      </c>
      <c r="K8" s="222">
        <f t="shared" si="3"/>
        <v>29.187637795275592</v>
      </c>
      <c r="L8" s="222">
        <f t="shared" si="4"/>
        <v>0.14593818897637795</v>
      </c>
      <c r="M8" s="186">
        <f t="shared" si="5"/>
        <v>0</v>
      </c>
    </row>
    <row r="9" spans="1:13" x14ac:dyDescent="0.35">
      <c r="A9" s="237">
        <v>2123</v>
      </c>
      <c r="B9" s="238" t="s">
        <v>2061</v>
      </c>
      <c r="C9" s="239">
        <v>12028</v>
      </c>
      <c r="D9" s="136" t="s">
        <v>2340</v>
      </c>
      <c r="E9" s="220">
        <v>1.0900000000000001</v>
      </c>
      <c r="F9" s="204">
        <v>0</v>
      </c>
      <c r="G9" s="222">
        <f t="shared" si="0"/>
        <v>9.000000000000008E-2</v>
      </c>
      <c r="H9" s="222">
        <f t="shared" si="1"/>
        <v>8.2568807339449615E-2</v>
      </c>
      <c r="I9" s="186">
        <v>100</v>
      </c>
      <c r="J9" s="222">
        <f t="shared" si="2"/>
        <v>120.28</v>
      </c>
      <c r="K9" s="222">
        <f t="shared" si="3"/>
        <v>9.9313761467889989</v>
      </c>
      <c r="L9" s="222">
        <f t="shared" si="4"/>
        <v>4.9656880733944996E-2</v>
      </c>
      <c r="M9" s="186">
        <f t="shared" si="5"/>
        <v>0</v>
      </c>
    </row>
    <row r="10" spans="1:13" x14ac:dyDescent="0.35">
      <c r="A10" s="237">
        <v>2125</v>
      </c>
      <c r="B10" s="238" t="s">
        <v>2063</v>
      </c>
      <c r="C10" s="239">
        <v>28803</v>
      </c>
      <c r="D10" s="136" t="s">
        <v>2340</v>
      </c>
      <c r="E10" s="220">
        <v>1.03</v>
      </c>
      <c r="F10" s="204">
        <v>0</v>
      </c>
      <c r="G10" s="222">
        <f t="shared" si="0"/>
        <v>3.0000000000000027E-2</v>
      </c>
      <c r="H10" s="222">
        <f t="shared" si="1"/>
        <v>2.9126213592233035E-2</v>
      </c>
      <c r="I10" s="186">
        <v>100</v>
      </c>
      <c r="J10" s="222">
        <f t="shared" si="2"/>
        <v>288.02999999999997</v>
      </c>
      <c r="K10" s="222">
        <f t="shared" si="3"/>
        <v>8.3892233009708796</v>
      </c>
      <c r="L10" s="222">
        <f>+K10/200</f>
        <v>4.19461165048544E-2</v>
      </c>
      <c r="M10" s="186">
        <v>0</v>
      </c>
    </row>
    <row r="11" spans="1:13" ht="14.25" customHeight="1" x14ac:dyDescent="0.35">
      <c r="A11" s="237">
        <v>2126</v>
      </c>
      <c r="B11" s="238" t="s">
        <v>2064</v>
      </c>
      <c r="C11" s="239">
        <v>33457</v>
      </c>
      <c r="D11" s="136" t="s">
        <v>2341</v>
      </c>
      <c r="E11" s="220">
        <v>1.26</v>
      </c>
      <c r="F11" s="204">
        <v>0.3</v>
      </c>
      <c r="G11" s="222">
        <f t="shared" si="0"/>
        <v>0.56000000000000005</v>
      </c>
      <c r="H11" s="222">
        <f t="shared" si="1"/>
        <v>0.35897435897435898</v>
      </c>
      <c r="I11" s="186">
        <v>200</v>
      </c>
      <c r="J11" s="222">
        <f t="shared" si="2"/>
        <v>167.285</v>
      </c>
      <c r="K11" s="222">
        <f t="shared" si="3"/>
        <v>60.051025641025639</v>
      </c>
      <c r="L11" s="222">
        <f>+K11/200</f>
        <v>0.30025512820512817</v>
      </c>
      <c r="M11" s="186">
        <v>0</v>
      </c>
    </row>
    <row r="12" spans="1:13" x14ac:dyDescent="0.35">
      <c r="A12" s="237">
        <v>2134</v>
      </c>
      <c r="B12" s="238" t="s">
        <v>2066</v>
      </c>
      <c r="C12" s="239">
        <v>24647</v>
      </c>
      <c r="D12" s="136" t="s">
        <v>2340</v>
      </c>
      <c r="E12" s="220">
        <v>2.2000000000000002</v>
      </c>
      <c r="F12" s="204">
        <v>0.02</v>
      </c>
      <c r="G12" s="222">
        <f t="shared" si="0"/>
        <v>1.2200000000000002</v>
      </c>
      <c r="H12" s="222">
        <f t="shared" si="1"/>
        <v>0.5495495495495496</v>
      </c>
      <c r="I12" s="186">
        <v>100</v>
      </c>
      <c r="J12" s="222">
        <f t="shared" si="2"/>
        <v>246.47</v>
      </c>
      <c r="K12" s="222">
        <f t="shared" si="3"/>
        <v>135.44747747747749</v>
      </c>
      <c r="L12" s="222">
        <f t="shared" si="4"/>
        <v>0.67723738738738748</v>
      </c>
      <c r="M12" s="186">
        <v>1</v>
      </c>
    </row>
    <row r="13" spans="1:13" x14ac:dyDescent="0.35">
      <c r="A13" s="237">
        <v>2152</v>
      </c>
      <c r="B13" s="238" t="s">
        <v>2067</v>
      </c>
      <c r="C13" s="239">
        <v>14718</v>
      </c>
      <c r="D13" s="136" t="s">
        <v>2340</v>
      </c>
      <c r="E13" s="220">
        <v>1.03</v>
      </c>
      <c r="F13" s="204">
        <v>0.03</v>
      </c>
      <c r="G13" s="222">
        <f t="shared" si="0"/>
        <v>6.0000000000000053E-2</v>
      </c>
      <c r="H13" s="222">
        <f t="shared" si="1"/>
        <v>5.660377358490571E-2</v>
      </c>
      <c r="I13" s="186">
        <v>100</v>
      </c>
      <c r="J13" s="222">
        <f t="shared" si="2"/>
        <v>147.18</v>
      </c>
      <c r="K13" s="222">
        <f t="shared" si="3"/>
        <v>8.3309433962264237</v>
      </c>
      <c r="L13" s="222">
        <f t="shared" si="4"/>
        <v>4.1654716981132121E-2</v>
      </c>
      <c r="M13" s="186">
        <f t="shared" si="5"/>
        <v>0</v>
      </c>
    </row>
    <row r="14" spans="1:13" x14ac:dyDescent="0.35">
      <c r="A14" s="237">
        <v>2162</v>
      </c>
      <c r="B14" s="238" t="s">
        <v>2070</v>
      </c>
      <c r="C14" s="239">
        <v>5766</v>
      </c>
      <c r="D14" s="136" t="s">
        <v>2340</v>
      </c>
      <c r="E14" s="220">
        <v>1.03</v>
      </c>
      <c r="F14" s="204">
        <v>0.01</v>
      </c>
      <c r="G14" s="222">
        <f t="shared" si="0"/>
        <v>4.0000000000000036E-2</v>
      </c>
      <c r="H14" s="222">
        <f t="shared" si="1"/>
        <v>3.8461538461538491E-2</v>
      </c>
      <c r="I14" s="186">
        <v>100</v>
      </c>
      <c r="J14" s="222">
        <f t="shared" si="2"/>
        <v>57.66</v>
      </c>
      <c r="K14" s="222">
        <f t="shared" si="3"/>
        <v>2.2176923076923094</v>
      </c>
      <c r="L14" s="222">
        <f t="shared" si="4"/>
        <v>1.1088461538461547E-2</v>
      </c>
      <c r="M14" s="186">
        <f t="shared" si="5"/>
        <v>0</v>
      </c>
    </row>
    <row r="15" spans="1:13" x14ac:dyDescent="0.35">
      <c r="A15" s="237">
        <v>2191</v>
      </c>
      <c r="B15" s="238" t="s">
        <v>2073</v>
      </c>
      <c r="C15" s="239">
        <v>7183</v>
      </c>
      <c r="D15" s="136" t="s">
        <v>2340</v>
      </c>
      <c r="E15" s="220">
        <v>1.1299999999999999</v>
      </c>
      <c r="F15" s="204">
        <v>0.01</v>
      </c>
      <c r="G15" s="222">
        <f t="shared" si="0"/>
        <v>0.1399999999999999</v>
      </c>
      <c r="H15" s="222">
        <f t="shared" si="1"/>
        <v>0.12280701754385957</v>
      </c>
      <c r="I15" s="186">
        <v>100</v>
      </c>
      <c r="J15" s="222">
        <f t="shared" si="2"/>
        <v>71.83</v>
      </c>
      <c r="K15" s="222">
        <f t="shared" si="3"/>
        <v>8.8212280701754331</v>
      </c>
      <c r="L15" s="222">
        <f t="shared" si="4"/>
        <v>4.4106140350877163E-2</v>
      </c>
      <c r="M15" s="186">
        <f t="shared" si="5"/>
        <v>0</v>
      </c>
    </row>
    <row r="16" spans="1:13" x14ac:dyDescent="0.35">
      <c r="A16" s="237">
        <v>2211</v>
      </c>
      <c r="B16" s="238" t="s">
        <v>2075</v>
      </c>
      <c r="C16" s="239">
        <v>75059</v>
      </c>
      <c r="D16" s="136" t="s">
        <v>2340</v>
      </c>
      <c r="E16" s="220">
        <v>1.1399999999999999</v>
      </c>
      <c r="F16" s="204">
        <v>0.01</v>
      </c>
      <c r="G16" s="222">
        <f t="shared" si="0"/>
        <v>0.14999999999999991</v>
      </c>
      <c r="H16" s="222">
        <f t="shared" si="1"/>
        <v>0.13043478260869559</v>
      </c>
      <c r="I16" s="186">
        <v>100</v>
      </c>
      <c r="J16" s="222">
        <f t="shared" si="2"/>
        <v>750.59</v>
      </c>
      <c r="K16" s="222">
        <f t="shared" si="3"/>
        <v>97.903043478260827</v>
      </c>
      <c r="L16" s="222">
        <f t="shared" si="4"/>
        <v>0.48951521739130416</v>
      </c>
      <c r="M16" s="186">
        <v>1</v>
      </c>
    </row>
    <row r="17" spans="1:13" x14ac:dyDescent="0.35">
      <c r="A17" s="237">
        <v>3101</v>
      </c>
      <c r="B17" s="238" t="s">
        <v>2088</v>
      </c>
      <c r="C17" s="239">
        <v>19156</v>
      </c>
      <c r="D17" s="136" t="s">
        <v>2001</v>
      </c>
      <c r="E17" s="241">
        <v>1.53</v>
      </c>
      <c r="F17" s="204">
        <v>0.09</v>
      </c>
      <c r="G17" s="222">
        <f t="shared" si="0"/>
        <v>0.62000000000000011</v>
      </c>
      <c r="H17" s="222">
        <f t="shared" si="1"/>
        <v>0.38271604938271608</v>
      </c>
      <c r="I17" s="186">
        <v>150</v>
      </c>
      <c r="J17" s="222">
        <f t="shared" si="2"/>
        <v>127.70666666666666</v>
      </c>
      <c r="K17" s="222">
        <f t="shared" si="3"/>
        <v>48.875390946502058</v>
      </c>
      <c r="L17" s="222">
        <f t="shared" si="4"/>
        <v>0.24437695473251028</v>
      </c>
      <c r="M17" s="186">
        <v>1</v>
      </c>
    </row>
    <row r="18" spans="1:13" x14ac:dyDescent="0.35">
      <c r="A18" s="237">
        <v>3102</v>
      </c>
      <c r="B18" s="238" t="s">
        <v>2089</v>
      </c>
      <c r="C18" s="239">
        <v>49055</v>
      </c>
      <c r="D18" s="136" t="s">
        <v>2001</v>
      </c>
      <c r="E18" s="220">
        <v>2.2000000000000002</v>
      </c>
      <c r="F18" s="204">
        <v>0.37</v>
      </c>
      <c r="G18" s="222">
        <f t="shared" si="0"/>
        <v>1.5700000000000003</v>
      </c>
      <c r="H18" s="222">
        <f t="shared" si="1"/>
        <v>0.6108949416342413</v>
      </c>
      <c r="I18" s="186">
        <v>150</v>
      </c>
      <c r="J18" s="222">
        <f t="shared" si="2"/>
        <v>327.03333333333336</v>
      </c>
      <c r="K18" s="222">
        <f t="shared" si="3"/>
        <v>199.78300907911807</v>
      </c>
      <c r="L18" s="222">
        <f t="shared" si="4"/>
        <v>0.9989150453955904</v>
      </c>
      <c r="M18" s="186">
        <f t="shared" si="5"/>
        <v>1</v>
      </c>
    </row>
    <row r="19" spans="1:13" x14ac:dyDescent="0.35">
      <c r="A19" s="237">
        <v>3103</v>
      </c>
      <c r="B19" s="238" t="s">
        <v>2342</v>
      </c>
      <c r="C19" s="239">
        <v>18968</v>
      </c>
      <c r="D19" s="136" t="s">
        <v>2341</v>
      </c>
      <c r="E19" s="220">
        <v>1.1000000000000001</v>
      </c>
      <c r="F19" s="204">
        <v>0</v>
      </c>
      <c r="G19" s="222">
        <f t="shared" si="0"/>
        <v>0.10000000000000009</v>
      </c>
      <c r="H19" s="222">
        <f t="shared" si="1"/>
        <v>9.0909090909090981E-2</v>
      </c>
      <c r="I19" s="186">
        <v>200</v>
      </c>
      <c r="J19" s="222">
        <f t="shared" si="2"/>
        <v>94.84</v>
      </c>
      <c r="K19" s="222">
        <f t="shared" si="3"/>
        <v>8.6218181818181883</v>
      </c>
      <c r="L19" s="222">
        <f t="shared" si="4"/>
        <v>4.3109090909090944E-2</v>
      </c>
      <c r="M19" s="186">
        <v>0</v>
      </c>
    </row>
    <row r="20" spans="1:13" x14ac:dyDescent="0.35">
      <c r="A20" s="237">
        <v>3131</v>
      </c>
      <c r="B20" s="238" t="s">
        <v>2092</v>
      </c>
      <c r="C20" s="239">
        <v>30434</v>
      </c>
      <c r="D20" s="136" t="s">
        <v>2340</v>
      </c>
      <c r="E20" s="220">
        <v>1.62</v>
      </c>
      <c r="F20" s="204">
        <v>0.25</v>
      </c>
      <c r="G20" s="222">
        <f t="shared" si="0"/>
        <v>0.87000000000000011</v>
      </c>
      <c r="H20" s="222">
        <f t="shared" si="1"/>
        <v>0.46524064171122997</v>
      </c>
      <c r="I20" s="186">
        <v>100</v>
      </c>
      <c r="J20" s="222">
        <f t="shared" si="2"/>
        <v>304.33999999999997</v>
      </c>
      <c r="K20" s="222">
        <f t="shared" si="3"/>
        <v>141.59133689839572</v>
      </c>
      <c r="L20" s="222">
        <f t="shared" si="4"/>
        <v>0.70795668449197857</v>
      </c>
      <c r="M20" s="186">
        <v>1</v>
      </c>
    </row>
    <row r="21" spans="1:13" x14ac:dyDescent="0.35">
      <c r="A21" s="237">
        <v>3151</v>
      </c>
      <c r="B21" s="238" t="s">
        <v>2094</v>
      </c>
      <c r="C21" s="239">
        <v>12654</v>
      </c>
      <c r="D21" s="136" t="s">
        <v>2341</v>
      </c>
      <c r="E21" s="220">
        <v>1.53</v>
      </c>
      <c r="F21" s="204">
        <v>0.03</v>
      </c>
      <c r="G21" s="222">
        <f t="shared" si="0"/>
        <v>0.56000000000000005</v>
      </c>
      <c r="H21" s="222">
        <f t="shared" si="1"/>
        <v>0.35897435897435898</v>
      </c>
      <c r="I21" s="186">
        <v>200</v>
      </c>
      <c r="J21" s="222">
        <f t="shared" si="2"/>
        <v>63.27</v>
      </c>
      <c r="K21" s="222">
        <f t="shared" si="3"/>
        <v>22.712307692307693</v>
      </c>
      <c r="L21" s="222">
        <f t="shared" si="4"/>
        <v>0.11356153846153846</v>
      </c>
      <c r="M21" s="186">
        <v>1</v>
      </c>
    </row>
    <row r="22" spans="1:13" x14ac:dyDescent="0.35">
      <c r="A22" s="237">
        <v>3161</v>
      </c>
      <c r="B22" s="238" t="s">
        <v>2095</v>
      </c>
      <c r="C22" s="239">
        <v>3611</v>
      </c>
      <c r="D22" s="136" t="s">
        <v>2341</v>
      </c>
      <c r="E22" s="220">
        <v>1.1599999999999999</v>
      </c>
      <c r="F22" s="204">
        <v>0.03</v>
      </c>
      <c r="G22" s="222">
        <f t="shared" si="0"/>
        <v>0.18999999999999995</v>
      </c>
      <c r="H22" s="222">
        <f t="shared" si="1"/>
        <v>0.15966386554621845</v>
      </c>
      <c r="I22" s="186">
        <v>200</v>
      </c>
      <c r="J22" s="222">
        <f t="shared" si="2"/>
        <v>18.055</v>
      </c>
      <c r="K22" s="222">
        <f t="shared" si="3"/>
        <v>2.8827310924369742</v>
      </c>
      <c r="L22" s="222">
        <f t="shared" si="4"/>
        <v>1.4413655462184871E-2</v>
      </c>
      <c r="M22" s="186">
        <f t="shared" si="5"/>
        <v>0</v>
      </c>
    </row>
    <row r="23" spans="1:13" x14ac:dyDescent="0.35">
      <c r="A23" s="237">
        <v>3171</v>
      </c>
      <c r="B23" s="238" t="s">
        <v>2096</v>
      </c>
      <c r="C23" s="239">
        <v>12726</v>
      </c>
      <c r="D23" s="136" t="s">
        <v>2340</v>
      </c>
      <c r="E23" s="220">
        <v>1.37</v>
      </c>
      <c r="F23" s="204">
        <v>0.05</v>
      </c>
      <c r="G23" s="222">
        <f t="shared" si="0"/>
        <v>0.42000000000000015</v>
      </c>
      <c r="H23" s="222">
        <f t="shared" si="1"/>
        <v>0.29577464788732399</v>
      </c>
      <c r="I23" s="186">
        <v>100</v>
      </c>
      <c r="J23" s="222">
        <f t="shared" si="2"/>
        <v>127.26</v>
      </c>
      <c r="K23" s="222">
        <f t="shared" si="3"/>
        <v>37.640281690140853</v>
      </c>
      <c r="L23" s="222">
        <f t="shared" si="4"/>
        <v>0.18820140845070427</v>
      </c>
      <c r="M23" s="186">
        <f t="shared" si="5"/>
        <v>0</v>
      </c>
    </row>
    <row r="24" spans="1:13" x14ac:dyDescent="0.35">
      <c r="A24" s="237">
        <v>3181</v>
      </c>
      <c r="B24" s="238" t="s">
        <v>2097</v>
      </c>
      <c r="C24" s="239">
        <v>11069</v>
      </c>
      <c r="D24" s="136" t="s">
        <v>2340</v>
      </c>
      <c r="E24" s="220">
        <v>1.29</v>
      </c>
      <c r="F24" s="204">
        <v>0.09</v>
      </c>
      <c r="G24" s="222">
        <f t="shared" si="0"/>
        <v>0.38000000000000012</v>
      </c>
      <c r="H24" s="222">
        <f t="shared" si="1"/>
        <v>0.27536231884057977</v>
      </c>
      <c r="I24" s="186">
        <v>100</v>
      </c>
      <c r="J24" s="222">
        <f t="shared" si="2"/>
        <v>110.69</v>
      </c>
      <c r="K24" s="222">
        <f t="shared" si="3"/>
        <v>30.479855072463774</v>
      </c>
      <c r="L24" s="222">
        <f t="shared" si="4"/>
        <v>0.15239927536231887</v>
      </c>
      <c r="M24" s="186">
        <f t="shared" si="5"/>
        <v>0</v>
      </c>
    </row>
    <row r="25" spans="1:13" x14ac:dyDescent="0.35">
      <c r="A25" s="237">
        <v>3191</v>
      </c>
      <c r="B25" s="238" t="s">
        <v>2098</v>
      </c>
      <c r="C25" s="239">
        <v>9757</v>
      </c>
      <c r="D25" s="136" t="s">
        <v>2340</v>
      </c>
      <c r="E25" s="220">
        <v>1.21</v>
      </c>
      <c r="F25" s="204">
        <v>0.04</v>
      </c>
      <c r="G25" s="222">
        <f t="shared" si="0"/>
        <v>0.25</v>
      </c>
      <c r="H25" s="222">
        <f t="shared" si="1"/>
        <v>0.2</v>
      </c>
      <c r="I25" s="186">
        <v>100</v>
      </c>
      <c r="J25" s="222">
        <f t="shared" si="2"/>
        <v>97.57</v>
      </c>
      <c r="K25" s="222">
        <f t="shared" si="3"/>
        <v>19.513999999999999</v>
      </c>
      <c r="L25" s="222">
        <f t="shared" si="4"/>
        <v>9.756999999999999E-2</v>
      </c>
      <c r="M25" s="186">
        <f t="shared" si="5"/>
        <v>0</v>
      </c>
    </row>
    <row r="26" spans="1:13" x14ac:dyDescent="0.35">
      <c r="A26" s="237">
        <v>3201</v>
      </c>
      <c r="B26" s="238" t="s">
        <v>2099</v>
      </c>
      <c r="C26" s="239">
        <v>13730</v>
      </c>
      <c r="D26" s="136" t="s">
        <v>2340</v>
      </c>
      <c r="E26" s="220">
        <v>1.9</v>
      </c>
      <c r="F26" s="204">
        <v>0.11</v>
      </c>
      <c r="G26" s="222">
        <f t="shared" si="0"/>
        <v>1.0099999999999998</v>
      </c>
      <c r="H26" s="222">
        <f t="shared" si="1"/>
        <v>0.50248756218905466</v>
      </c>
      <c r="I26" s="186">
        <v>100</v>
      </c>
      <c r="J26" s="222">
        <f t="shared" si="2"/>
        <v>137.30000000000001</v>
      </c>
      <c r="K26" s="222">
        <f t="shared" si="3"/>
        <v>68.991542288557213</v>
      </c>
      <c r="L26" s="222">
        <f t="shared" si="4"/>
        <v>0.34495771144278609</v>
      </c>
      <c r="M26" s="186">
        <v>1</v>
      </c>
    </row>
    <row r="27" spans="1:13" x14ac:dyDescent="0.35">
      <c r="A27" s="237">
        <v>4414</v>
      </c>
      <c r="B27" s="238" t="s">
        <v>2107</v>
      </c>
      <c r="C27" s="239">
        <v>25110</v>
      </c>
      <c r="D27" s="136" t="s">
        <v>2343</v>
      </c>
      <c r="E27" s="220">
        <v>1.1299999999999999</v>
      </c>
      <c r="F27" s="204">
        <v>0.03</v>
      </c>
      <c r="G27" s="222">
        <f t="shared" si="0"/>
        <v>0.15999999999999992</v>
      </c>
      <c r="H27" s="222">
        <f t="shared" si="1"/>
        <v>0.13793103448275856</v>
      </c>
      <c r="I27" s="186">
        <v>500</v>
      </c>
      <c r="J27" s="222">
        <f t="shared" si="2"/>
        <v>50.22</v>
      </c>
      <c r="K27" s="222">
        <f t="shared" si="3"/>
        <v>6.926896551724135</v>
      </c>
      <c r="L27" s="222">
        <f t="shared" si="4"/>
        <v>3.4634482758620674E-2</v>
      </c>
      <c r="M27" s="186">
        <f t="shared" si="5"/>
        <v>0</v>
      </c>
    </row>
    <row r="28" spans="1:13" x14ac:dyDescent="0.35">
      <c r="A28" s="237">
        <v>4424</v>
      </c>
      <c r="B28" s="238" t="s">
        <v>2108</v>
      </c>
      <c r="C28" s="239">
        <v>24041</v>
      </c>
      <c r="D28" s="136" t="s">
        <v>2343</v>
      </c>
      <c r="E28" s="220">
        <v>1.04</v>
      </c>
      <c r="F28" s="204">
        <v>0.02</v>
      </c>
      <c r="G28" s="222">
        <f t="shared" si="0"/>
        <v>6.0000000000000053E-2</v>
      </c>
      <c r="H28" s="222">
        <f t="shared" si="1"/>
        <v>5.660377358490571E-2</v>
      </c>
      <c r="I28" s="186">
        <v>500</v>
      </c>
      <c r="J28" s="222">
        <f t="shared" si="2"/>
        <v>48.082000000000001</v>
      </c>
      <c r="K28" s="222">
        <f t="shared" si="3"/>
        <v>2.7216226415094362</v>
      </c>
      <c r="L28" s="222">
        <f t="shared" si="4"/>
        <v>1.3608113207547181E-2</v>
      </c>
      <c r="M28" s="186">
        <f t="shared" si="5"/>
        <v>0</v>
      </c>
    </row>
    <row r="29" spans="1:13" x14ac:dyDescent="0.35">
      <c r="A29" s="237">
        <v>5302</v>
      </c>
      <c r="B29" s="238" t="s">
        <v>2114</v>
      </c>
      <c r="C29" s="239">
        <v>11757</v>
      </c>
      <c r="D29" s="186" t="s">
        <v>2001</v>
      </c>
      <c r="E29" s="220">
        <v>1.31</v>
      </c>
      <c r="F29" s="204">
        <v>0.01</v>
      </c>
      <c r="G29" s="222">
        <f t="shared" si="0"/>
        <v>0.32000000000000006</v>
      </c>
      <c r="H29" s="222">
        <f t="shared" si="1"/>
        <v>0.24242424242424246</v>
      </c>
      <c r="I29" s="186">
        <v>150</v>
      </c>
      <c r="J29" s="222">
        <f t="shared" si="2"/>
        <v>78.38</v>
      </c>
      <c r="K29" s="222">
        <f t="shared" si="3"/>
        <v>19.001212121212124</v>
      </c>
      <c r="L29" s="222">
        <f t="shared" si="4"/>
        <v>9.5006060606060622E-2</v>
      </c>
      <c r="M29" s="186">
        <v>1</v>
      </c>
    </row>
    <row r="30" spans="1:13" x14ac:dyDescent="0.35">
      <c r="A30" s="237">
        <v>5304</v>
      </c>
      <c r="B30" s="238" t="s">
        <v>2116</v>
      </c>
      <c r="C30" s="239">
        <v>4125</v>
      </c>
      <c r="D30" s="186" t="s">
        <v>2001</v>
      </c>
      <c r="E30" s="220">
        <v>1.06</v>
      </c>
      <c r="F30" s="204">
        <v>0.01</v>
      </c>
      <c r="G30" s="222">
        <f t="shared" si="0"/>
        <v>7.0000000000000062E-2</v>
      </c>
      <c r="H30" s="222">
        <f t="shared" si="1"/>
        <v>6.54205607476636E-2</v>
      </c>
      <c r="I30" s="186">
        <v>150</v>
      </c>
      <c r="J30" s="222">
        <f t="shared" si="2"/>
        <v>27.5</v>
      </c>
      <c r="K30" s="222">
        <f t="shared" si="3"/>
        <v>1.799065420560749</v>
      </c>
      <c r="L30" s="222">
        <f t="shared" si="4"/>
        <v>8.9953271028037456E-3</v>
      </c>
      <c r="M30" s="186">
        <v>0</v>
      </c>
    </row>
    <row r="31" spans="1:13" x14ac:dyDescent="0.35">
      <c r="A31" s="237">
        <v>7215</v>
      </c>
      <c r="B31" s="238" t="s">
        <v>2129</v>
      </c>
      <c r="C31" s="239">
        <v>100358</v>
      </c>
      <c r="D31" s="186" t="s">
        <v>2344</v>
      </c>
      <c r="E31" s="220">
        <v>3.05</v>
      </c>
      <c r="F31" s="204">
        <v>0.6</v>
      </c>
      <c r="G31" s="222">
        <f t="shared" si="0"/>
        <v>2.65</v>
      </c>
      <c r="H31" s="222">
        <f t="shared" si="1"/>
        <v>0.72602739726027399</v>
      </c>
      <c r="I31" s="186">
        <v>100</v>
      </c>
      <c r="J31" s="222">
        <f t="shared" si="2"/>
        <v>1003.58</v>
      </c>
      <c r="K31" s="222">
        <f t="shared" si="3"/>
        <v>728.6265753424658</v>
      </c>
      <c r="L31" s="222">
        <f t="shared" si="4"/>
        <v>3.643132876712329</v>
      </c>
      <c r="M31" s="186">
        <f t="shared" si="5"/>
        <v>4</v>
      </c>
    </row>
    <row r="32" spans="1:13" x14ac:dyDescent="0.35">
      <c r="A32" s="237">
        <v>7231</v>
      </c>
      <c r="B32" s="238" t="s">
        <v>2130</v>
      </c>
      <c r="C32" s="239">
        <v>3711</v>
      </c>
      <c r="D32" s="186" t="s">
        <v>2343</v>
      </c>
      <c r="E32" s="220">
        <v>1.1399999999999999</v>
      </c>
      <c r="F32" s="204">
        <v>0.02</v>
      </c>
      <c r="G32" s="222">
        <f t="shared" si="0"/>
        <v>0.15999999999999992</v>
      </c>
      <c r="H32" s="222">
        <f t="shared" si="1"/>
        <v>0.13793103448275856</v>
      </c>
      <c r="I32" s="186">
        <v>500</v>
      </c>
      <c r="J32" s="222">
        <f t="shared" si="2"/>
        <v>7.4219999999999997</v>
      </c>
      <c r="K32" s="222">
        <f t="shared" si="3"/>
        <v>1.023724137931034</v>
      </c>
      <c r="L32" s="222">
        <f t="shared" si="4"/>
        <v>5.1186206896551697E-3</v>
      </c>
      <c r="M32" s="186">
        <f t="shared" si="5"/>
        <v>0</v>
      </c>
    </row>
    <row r="33" spans="1:16" x14ac:dyDescent="0.35">
      <c r="A33" s="237">
        <v>7312</v>
      </c>
      <c r="B33" s="238" t="s">
        <v>2139</v>
      </c>
      <c r="C33" s="239">
        <v>17266</v>
      </c>
      <c r="D33" s="186" t="s">
        <v>2339</v>
      </c>
      <c r="E33" s="220">
        <v>1.25</v>
      </c>
      <c r="F33" s="204">
        <v>0.01</v>
      </c>
      <c r="G33" s="222">
        <f t="shared" si="0"/>
        <v>0.26</v>
      </c>
      <c r="H33" s="222">
        <f t="shared" si="1"/>
        <v>0.20634920634920637</v>
      </c>
      <c r="I33" s="186">
        <v>120</v>
      </c>
      <c r="J33" s="222">
        <f t="shared" si="2"/>
        <v>143.88333333333333</v>
      </c>
      <c r="K33" s="222">
        <f t="shared" si="3"/>
        <v>29.69021164021164</v>
      </c>
      <c r="L33" s="222">
        <f t="shared" si="4"/>
        <v>0.14845105820105819</v>
      </c>
      <c r="M33" s="186">
        <f t="shared" si="5"/>
        <v>0</v>
      </c>
    </row>
    <row r="34" spans="1:16" x14ac:dyDescent="0.35">
      <c r="A34" s="237">
        <v>7313</v>
      </c>
      <c r="B34" s="238" t="s">
        <v>2140</v>
      </c>
      <c r="C34" s="239">
        <v>8541</v>
      </c>
      <c r="D34" s="186" t="s">
        <v>2001</v>
      </c>
      <c r="E34" s="220">
        <v>1.22</v>
      </c>
      <c r="F34" s="204">
        <v>0.06</v>
      </c>
      <c r="G34" s="222">
        <f t="shared" si="0"/>
        <v>0.28000000000000003</v>
      </c>
      <c r="H34" s="222">
        <f t="shared" si="1"/>
        <v>0.21875000000000003</v>
      </c>
      <c r="I34" s="186">
        <v>150</v>
      </c>
      <c r="J34" s="222">
        <f t="shared" si="2"/>
        <v>56.94</v>
      </c>
      <c r="K34" s="222">
        <f t="shared" si="3"/>
        <v>12.455625000000001</v>
      </c>
      <c r="L34" s="222">
        <f t="shared" si="4"/>
        <v>6.2278125000000004E-2</v>
      </c>
      <c r="M34" s="186">
        <f t="shared" si="5"/>
        <v>0</v>
      </c>
    </row>
    <row r="35" spans="1:16" x14ac:dyDescent="0.35">
      <c r="A35" s="237">
        <v>7331</v>
      </c>
      <c r="B35" s="238" t="s">
        <v>2145</v>
      </c>
      <c r="C35" s="239">
        <v>5710</v>
      </c>
      <c r="D35" s="186" t="s">
        <v>2001</v>
      </c>
      <c r="E35" s="220">
        <v>1.1000000000000001</v>
      </c>
      <c r="F35" s="204">
        <v>0.03</v>
      </c>
      <c r="G35" s="222">
        <f t="shared" si="0"/>
        <v>0.13000000000000012</v>
      </c>
      <c r="H35" s="222">
        <f t="shared" si="1"/>
        <v>0.11504424778761072</v>
      </c>
      <c r="I35" s="186">
        <v>150</v>
      </c>
      <c r="J35" s="222">
        <f t="shared" si="2"/>
        <v>38.06666666666667</v>
      </c>
      <c r="K35" s="222">
        <f t="shared" si="3"/>
        <v>4.3793510324483815</v>
      </c>
      <c r="L35" s="222">
        <f t="shared" si="4"/>
        <v>2.1896755162241908E-2</v>
      </c>
      <c r="M35" s="186">
        <f t="shared" si="5"/>
        <v>0</v>
      </c>
    </row>
    <row r="36" spans="1:16" x14ac:dyDescent="0.35">
      <c r="A36" s="237">
        <v>7333</v>
      </c>
      <c r="B36" s="238" t="s">
        <v>2146</v>
      </c>
      <c r="C36" s="239">
        <v>18240</v>
      </c>
      <c r="D36" s="186" t="s">
        <v>2299</v>
      </c>
      <c r="E36" s="220">
        <v>1.28</v>
      </c>
      <c r="F36" s="204">
        <v>0.08</v>
      </c>
      <c r="G36" s="222">
        <f t="shared" si="0"/>
        <v>0.3600000000000001</v>
      </c>
      <c r="H36" s="222">
        <f t="shared" si="1"/>
        <v>0.26470588235294124</v>
      </c>
      <c r="I36" s="186">
        <v>15</v>
      </c>
      <c r="J36" s="222">
        <f t="shared" si="2"/>
        <v>1216</v>
      </c>
      <c r="K36" s="222">
        <f t="shared" si="3"/>
        <v>321.88235294117652</v>
      </c>
      <c r="L36" s="222">
        <f t="shared" si="4"/>
        <v>1.6094117647058825</v>
      </c>
      <c r="M36" s="186">
        <f t="shared" si="5"/>
        <v>2</v>
      </c>
    </row>
    <row r="37" spans="1:16" x14ac:dyDescent="0.35">
      <c r="A37" s="237">
        <v>7346</v>
      </c>
      <c r="B37" s="238" t="s">
        <v>2152</v>
      </c>
      <c r="C37" s="239">
        <v>28915</v>
      </c>
      <c r="D37" s="186" t="s">
        <v>2345</v>
      </c>
      <c r="E37" s="220">
        <v>1.2</v>
      </c>
      <c r="F37" s="204">
        <v>0.02</v>
      </c>
      <c r="G37" s="222">
        <f t="shared" si="0"/>
        <v>0.21999999999999997</v>
      </c>
      <c r="H37" s="222">
        <f t="shared" si="1"/>
        <v>0.18032786885245899</v>
      </c>
      <c r="I37" s="186">
        <v>60</v>
      </c>
      <c r="J37" s="222">
        <f t="shared" si="2"/>
        <v>481.91666666666669</v>
      </c>
      <c r="K37" s="222">
        <f t="shared" si="3"/>
        <v>86.90300546448087</v>
      </c>
      <c r="L37" s="222">
        <f t="shared" si="4"/>
        <v>0.43451502732240432</v>
      </c>
      <c r="M37" s="186">
        <f t="shared" si="5"/>
        <v>0</v>
      </c>
    </row>
    <row r="38" spans="1:16" x14ac:dyDescent="0.35">
      <c r="A38" s="237">
        <v>7347</v>
      </c>
      <c r="B38" s="238" t="s">
        <v>2153</v>
      </c>
      <c r="C38" s="239">
        <v>4601</v>
      </c>
      <c r="D38" s="186" t="s">
        <v>2001</v>
      </c>
      <c r="E38" s="220">
        <v>1.1200000000000001</v>
      </c>
      <c r="F38" s="204">
        <v>0.01</v>
      </c>
      <c r="G38" s="222">
        <f t="shared" si="0"/>
        <v>0.13000000000000012</v>
      </c>
      <c r="H38" s="222">
        <f t="shared" si="1"/>
        <v>0.11504424778761072</v>
      </c>
      <c r="I38" s="186">
        <v>150</v>
      </c>
      <c r="J38" s="222">
        <f t="shared" si="2"/>
        <v>30.673333333333332</v>
      </c>
      <c r="K38" s="222">
        <f t="shared" si="3"/>
        <v>3.5287905604719794</v>
      </c>
      <c r="L38" s="222">
        <f t="shared" si="4"/>
        <v>1.7643952802359898E-2</v>
      </c>
      <c r="M38" s="186">
        <v>0</v>
      </c>
    </row>
    <row r="39" spans="1:16" x14ac:dyDescent="0.35">
      <c r="A39" s="237">
        <v>7349</v>
      </c>
      <c r="B39" s="238" t="s">
        <v>2155</v>
      </c>
      <c r="C39" s="239">
        <v>69156</v>
      </c>
      <c r="D39" s="186" t="s">
        <v>2345</v>
      </c>
      <c r="E39" s="220">
        <v>1.23</v>
      </c>
      <c r="F39" s="204">
        <v>0.03</v>
      </c>
      <c r="G39" s="222">
        <f t="shared" si="0"/>
        <v>0.26</v>
      </c>
      <c r="H39" s="222">
        <f t="shared" si="1"/>
        <v>0.20634920634920637</v>
      </c>
      <c r="I39" s="186">
        <v>60</v>
      </c>
      <c r="J39" s="222">
        <f t="shared" si="2"/>
        <v>1152.5999999999999</v>
      </c>
      <c r="K39" s="222">
        <f t="shared" si="3"/>
        <v>237.83809523809524</v>
      </c>
      <c r="L39" s="222">
        <f t="shared" si="4"/>
        <v>1.1891904761904761</v>
      </c>
      <c r="M39" s="186">
        <f t="shared" si="5"/>
        <v>1</v>
      </c>
    </row>
    <row r="40" spans="1:16" x14ac:dyDescent="0.35">
      <c r="A40" s="237">
        <v>7351</v>
      </c>
      <c r="B40" s="238" t="s">
        <v>2157</v>
      </c>
      <c r="C40" s="239">
        <v>21175</v>
      </c>
      <c r="D40" s="186" t="s">
        <v>2346</v>
      </c>
      <c r="E40" s="220">
        <v>1.61</v>
      </c>
      <c r="F40" s="204">
        <v>0.09</v>
      </c>
      <c r="G40" s="222">
        <f t="shared" si="0"/>
        <v>0.70000000000000018</v>
      </c>
      <c r="H40" s="222">
        <f t="shared" si="1"/>
        <v>0.41176470588235298</v>
      </c>
      <c r="I40" s="186">
        <v>20</v>
      </c>
      <c r="J40" s="222">
        <f t="shared" si="2"/>
        <v>1058.75</v>
      </c>
      <c r="K40" s="222">
        <f t="shared" si="3"/>
        <v>435.95588235294122</v>
      </c>
      <c r="L40" s="222">
        <f t="shared" si="4"/>
        <v>2.1797794117647062</v>
      </c>
      <c r="M40" s="186">
        <f t="shared" si="5"/>
        <v>2</v>
      </c>
    </row>
    <row r="41" spans="1:16" x14ac:dyDescent="0.35">
      <c r="A41" s="237">
        <v>7362</v>
      </c>
      <c r="B41" s="238" t="s">
        <v>2159</v>
      </c>
      <c r="C41" s="239">
        <v>6796</v>
      </c>
      <c r="D41" s="186" t="s">
        <v>2346</v>
      </c>
      <c r="E41" s="220">
        <v>1.17</v>
      </c>
      <c r="F41" s="204">
        <v>0.03</v>
      </c>
      <c r="G41" s="222">
        <f t="shared" si="0"/>
        <v>0.19999999999999996</v>
      </c>
      <c r="H41" s="222">
        <f t="shared" si="1"/>
        <v>0.16666666666666663</v>
      </c>
      <c r="I41" s="186">
        <v>20</v>
      </c>
      <c r="J41" s="222">
        <f t="shared" si="2"/>
        <v>339.8</v>
      </c>
      <c r="K41" s="222">
        <f t="shared" si="3"/>
        <v>56.633333333333326</v>
      </c>
      <c r="L41" s="222">
        <f t="shared" si="4"/>
        <v>0.28316666666666662</v>
      </c>
      <c r="M41" s="186">
        <f t="shared" si="5"/>
        <v>0</v>
      </c>
    </row>
    <row r="42" spans="1:16" x14ac:dyDescent="0.35">
      <c r="A42" s="237">
        <v>7417</v>
      </c>
      <c r="B42" s="238" t="s">
        <v>2175</v>
      </c>
      <c r="C42" s="239">
        <v>9922</v>
      </c>
      <c r="D42" s="186" t="s">
        <v>2299</v>
      </c>
      <c r="E42" s="220">
        <v>1.25</v>
      </c>
      <c r="F42" s="204">
        <v>7.0000000000000007E-2</v>
      </c>
      <c r="G42" s="222">
        <f t="shared" si="0"/>
        <v>0.32000000000000006</v>
      </c>
      <c r="H42" s="222">
        <f t="shared" si="1"/>
        <v>0.24242424242424246</v>
      </c>
      <c r="I42" s="186">
        <v>15</v>
      </c>
      <c r="J42" s="222">
        <f t="shared" si="2"/>
        <v>661.4666666666667</v>
      </c>
      <c r="K42" s="222">
        <f t="shared" si="3"/>
        <v>160.35555555555558</v>
      </c>
      <c r="L42" s="222">
        <f t="shared" si="4"/>
        <v>0.80177777777777792</v>
      </c>
      <c r="M42" s="186">
        <f t="shared" si="5"/>
        <v>1</v>
      </c>
    </row>
    <row r="43" spans="1:16" x14ac:dyDescent="0.35">
      <c r="A43" s="237">
        <v>8910</v>
      </c>
      <c r="B43" s="238" t="s">
        <v>2257</v>
      </c>
      <c r="C43" s="239">
        <v>1359</v>
      </c>
      <c r="D43" s="186" t="s">
        <v>2339</v>
      </c>
      <c r="E43" s="220">
        <v>1.07</v>
      </c>
      <c r="F43" s="204">
        <v>0.03</v>
      </c>
      <c r="G43" s="222">
        <f t="shared" si="0"/>
        <v>0.10000000000000009</v>
      </c>
      <c r="H43" s="222">
        <f t="shared" si="1"/>
        <v>9.0909090909090981E-2</v>
      </c>
      <c r="I43" s="186">
        <v>120</v>
      </c>
      <c r="J43" s="222">
        <f t="shared" si="2"/>
        <v>11.324999999999999</v>
      </c>
      <c r="K43" s="222">
        <f t="shared" si="3"/>
        <v>1.0295454545454552</v>
      </c>
      <c r="L43" s="222">
        <f t="shared" si="4"/>
        <v>5.147727272727276E-3</v>
      </c>
      <c r="M43" s="186">
        <f t="shared" si="5"/>
        <v>0</v>
      </c>
      <c r="P43" s="5"/>
    </row>
    <row r="44" spans="1:16" x14ac:dyDescent="0.35">
      <c r="A44" s="1833"/>
      <c r="B44" s="1834"/>
      <c r="C44" s="1834"/>
      <c r="D44" s="1834"/>
      <c r="E44" s="1834"/>
      <c r="F44" s="1834"/>
      <c r="G44" s="1834"/>
      <c r="H44" s="1834"/>
      <c r="I44" s="1834"/>
      <c r="J44" s="1834"/>
      <c r="K44" s="1834"/>
      <c r="L44" s="1834"/>
      <c r="M44" s="1835"/>
      <c r="P44" s="5"/>
    </row>
    <row r="45" spans="1:16" x14ac:dyDescent="0.35">
      <c r="A45" s="1202" t="s">
        <v>2270</v>
      </c>
      <c r="B45" s="1203"/>
      <c r="C45" s="1203"/>
      <c r="D45" s="1203"/>
      <c r="E45" s="1203"/>
      <c r="F45" s="1203"/>
      <c r="G45" s="1203"/>
      <c r="H45" s="1203"/>
      <c r="I45" s="1203"/>
      <c r="J45" s="1203"/>
      <c r="K45" s="1203"/>
      <c r="L45" s="1203"/>
      <c r="M45" s="1204"/>
    </row>
    <row r="46" spans="1:16" x14ac:dyDescent="0.35">
      <c r="A46" s="186">
        <v>1</v>
      </c>
      <c r="B46" s="1202" t="s">
        <v>2842</v>
      </c>
      <c r="C46" s="1203"/>
      <c r="D46" s="1203"/>
      <c r="E46" s="1203"/>
      <c r="F46" s="1203"/>
      <c r="G46" s="1203"/>
      <c r="H46" s="1203"/>
      <c r="I46" s="1203"/>
      <c r="J46" s="1203"/>
      <c r="K46" s="1203"/>
      <c r="L46" s="1203"/>
      <c r="M46" s="1204"/>
    </row>
    <row r="47" spans="1:16" x14ac:dyDescent="0.35">
      <c r="A47" s="186">
        <v>2</v>
      </c>
      <c r="B47" s="1202" t="s">
        <v>2347</v>
      </c>
      <c r="C47" s="1203"/>
      <c r="D47" s="1203"/>
      <c r="E47" s="1203"/>
      <c r="F47" s="1203"/>
      <c r="G47" s="1203"/>
      <c r="H47" s="1203"/>
      <c r="I47" s="1203"/>
      <c r="J47" s="1203"/>
      <c r="K47" s="1203"/>
      <c r="L47" s="1203"/>
      <c r="M47" s="1204"/>
    </row>
    <row r="48" spans="1:16" x14ac:dyDescent="0.35">
      <c r="A48" s="186">
        <v>3</v>
      </c>
      <c r="B48" s="1202" t="s">
        <v>2348</v>
      </c>
      <c r="C48" s="1203"/>
      <c r="D48" s="1203"/>
      <c r="E48" s="1203"/>
      <c r="F48" s="1203"/>
      <c r="G48" s="1203"/>
      <c r="H48" s="1203"/>
      <c r="I48" s="1203"/>
      <c r="J48" s="1203"/>
      <c r="K48" s="1203"/>
      <c r="L48" s="1203"/>
      <c r="M48" s="1204"/>
    </row>
    <row r="49" spans="1:13" x14ac:dyDescent="0.35">
      <c r="A49" s="186">
        <v>4</v>
      </c>
      <c r="B49" s="1202" t="s">
        <v>2349</v>
      </c>
      <c r="C49" s="1203"/>
      <c r="D49" s="1203"/>
      <c r="E49" s="1203"/>
      <c r="F49" s="1203"/>
      <c r="G49" s="1203"/>
      <c r="H49" s="1203"/>
      <c r="I49" s="1203"/>
      <c r="J49" s="1203"/>
      <c r="K49" s="1203"/>
      <c r="L49" s="1203"/>
      <c r="M49" s="1204"/>
    </row>
    <row r="50" spans="1:13" x14ac:dyDescent="0.35">
      <c r="A50" s="186">
        <v>5</v>
      </c>
      <c r="B50" s="1202" t="s">
        <v>2350</v>
      </c>
      <c r="C50" s="1203"/>
      <c r="D50" s="1203"/>
      <c r="E50" s="1203"/>
      <c r="F50" s="1203"/>
      <c r="G50" s="1203"/>
      <c r="H50" s="1203"/>
      <c r="I50" s="1203"/>
      <c r="J50" s="1203"/>
      <c r="K50" s="1203"/>
      <c r="L50" s="1203"/>
      <c r="M50" s="1204"/>
    </row>
    <row r="51" spans="1:13" ht="15" thickBot="1" x14ac:dyDescent="0.4">
      <c r="A51" s="3">
        <v>6</v>
      </c>
      <c r="B51" s="1437" t="s">
        <v>2351</v>
      </c>
      <c r="C51" s="1438"/>
      <c r="D51" s="1438"/>
      <c r="E51" s="1438"/>
      <c r="F51" s="1438"/>
      <c r="G51" s="1438"/>
      <c r="H51" s="1438"/>
      <c r="I51" s="1438"/>
      <c r="J51" s="1438"/>
      <c r="K51" s="1438"/>
      <c r="L51" s="1438"/>
      <c r="M51" s="1439"/>
    </row>
    <row r="52" spans="1:13" x14ac:dyDescent="0.35">
      <c r="B52" s="45"/>
    </row>
    <row r="53" spans="1:13" x14ac:dyDescent="0.35">
      <c r="B53" s="45"/>
    </row>
    <row r="54" spans="1:13" x14ac:dyDescent="0.35">
      <c r="B54" s="45"/>
    </row>
    <row r="55" spans="1:13" x14ac:dyDescent="0.35">
      <c r="B55" s="45"/>
    </row>
    <row r="56" spans="1:13" x14ac:dyDescent="0.35">
      <c r="B56" s="45"/>
    </row>
    <row r="57" spans="1:13" x14ac:dyDescent="0.35">
      <c r="B57" s="45"/>
    </row>
    <row r="58" spans="1:13" x14ac:dyDescent="0.35">
      <c r="B58" s="45"/>
    </row>
    <row r="59" spans="1:13" x14ac:dyDescent="0.35">
      <c r="B59" s="45"/>
    </row>
    <row r="60" spans="1:13" x14ac:dyDescent="0.35">
      <c r="B60" s="45"/>
    </row>
    <row r="61" spans="1:13" x14ac:dyDescent="0.35">
      <c r="B61" s="45"/>
    </row>
    <row r="62" spans="1:13" x14ac:dyDescent="0.35">
      <c r="B62" s="45"/>
    </row>
    <row r="63" spans="1:13" x14ac:dyDescent="0.35">
      <c r="B63" s="45"/>
    </row>
    <row r="64" spans="1:13" x14ac:dyDescent="0.35">
      <c r="B64" s="45"/>
    </row>
    <row r="65" spans="2:2" x14ac:dyDescent="0.35">
      <c r="B65" s="45"/>
    </row>
    <row r="66" spans="2:2" x14ac:dyDescent="0.35">
      <c r="B66" s="45"/>
    </row>
  </sheetData>
  <mergeCells count="9">
    <mergeCell ref="B50:M50"/>
    <mergeCell ref="B51:M51"/>
    <mergeCell ref="A1:M1"/>
    <mergeCell ref="A44:M44"/>
    <mergeCell ref="B46:M46"/>
    <mergeCell ref="B47:M47"/>
    <mergeCell ref="B48:M48"/>
    <mergeCell ref="B49:M49"/>
    <mergeCell ref="A45:M45"/>
  </mergeCells>
  <conditionalFormatting sqref="E3:E43">
    <cfRule type="cellIs" dxfId="0" priority="1" operator="greaterThan">
      <formula>1.5</formula>
    </cfRule>
  </conditionalFormatting>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AE5D-BC2A-4B9F-A980-1E40D3B00F72}">
  <sheetPr codeName="Sheet7">
    <tabColor theme="4" tint="0.79998168889431442"/>
    <pageSetUpPr fitToPage="1"/>
  </sheetPr>
  <dimension ref="A1"/>
  <sheetViews>
    <sheetView topLeftCell="A31" workbookViewId="0">
      <selection activeCell="X68" sqref="X68"/>
    </sheetView>
  </sheetViews>
  <sheetFormatPr defaultRowHeight="14.5" x14ac:dyDescent="0.35"/>
  <sheetData/>
  <pageMargins left="0.7" right="0.7" top="0.75" bottom="0.75" header="0.3" footer="0.3"/>
  <pageSetup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A6FF-E2FF-47A7-B34E-C3BFC31258C3}">
  <sheetPr codeName="Sheet8">
    <tabColor theme="4" tint="0.79998168889431442"/>
    <pageSetUpPr fitToPage="1"/>
  </sheetPr>
  <dimension ref="A1:O88"/>
  <sheetViews>
    <sheetView workbookViewId="0">
      <selection activeCell="P35" sqref="P35"/>
    </sheetView>
  </sheetViews>
  <sheetFormatPr defaultRowHeight="14.5" x14ac:dyDescent="0.35"/>
  <cols>
    <col min="1" max="1" width="16.1796875" style="4" customWidth="1"/>
    <col min="2" max="2" width="28.36328125" style="4" customWidth="1"/>
  </cols>
  <sheetData>
    <row r="1" spans="1:2" ht="39" customHeight="1" x14ac:dyDescent="0.45">
      <c r="A1" s="1837" t="s">
        <v>2352</v>
      </c>
      <c r="B1" s="1837"/>
    </row>
    <row r="2" spans="1:2" ht="15.5" x14ac:dyDescent="0.35">
      <c r="A2" s="242" t="s">
        <v>2353</v>
      </c>
      <c r="B2" s="242" t="s">
        <v>2354</v>
      </c>
    </row>
    <row r="3" spans="1:2" s="2" customFormat="1" x14ac:dyDescent="0.35">
      <c r="A3" s="243" t="s">
        <v>2355</v>
      </c>
      <c r="B3" s="243" t="s">
        <v>2356</v>
      </c>
    </row>
    <row r="4" spans="1:2" s="2" customFormat="1" ht="43.5" x14ac:dyDescent="0.35">
      <c r="A4" s="243" t="s">
        <v>2357</v>
      </c>
      <c r="B4" s="236" t="s">
        <v>2358</v>
      </c>
    </row>
    <row r="5" spans="1:2" s="2" customFormat="1" ht="29" x14ac:dyDescent="0.35">
      <c r="A5" s="243" t="s">
        <v>2359</v>
      </c>
      <c r="B5" s="236" t="s">
        <v>2360</v>
      </c>
    </row>
    <row r="6" spans="1:2" s="2" customFormat="1" x14ac:dyDescent="0.35">
      <c r="A6" s="243" t="s">
        <v>2001</v>
      </c>
      <c r="B6" s="243" t="s">
        <v>2361</v>
      </c>
    </row>
    <row r="7" spans="1:2" s="2" customFormat="1" x14ac:dyDescent="0.35">
      <c r="A7" s="243" t="s">
        <v>2346</v>
      </c>
      <c r="B7" s="243" t="s">
        <v>2356</v>
      </c>
    </row>
    <row r="8" spans="1:2" s="2" customFormat="1" x14ac:dyDescent="0.35">
      <c r="A8" s="243" t="s">
        <v>2340</v>
      </c>
      <c r="B8" s="243" t="s">
        <v>2356</v>
      </c>
    </row>
    <row r="9" spans="1:2" s="2" customFormat="1" ht="16.5" x14ac:dyDescent="0.35">
      <c r="A9" s="243" t="s">
        <v>2362</v>
      </c>
      <c r="B9" s="243" t="s">
        <v>2363</v>
      </c>
    </row>
    <row r="10" spans="1:2" s="2" customFormat="1" x14ac:dyDescent="0.35">
      <c r="A10" s="243" t="s">
        <v>2339</v>
      </c>
      <c r="B10" s="243" t="s">
        <v>2363</v>
      </c>
    </row>
    <row r="11" spans="1:2" s="2" customFormat="1" x14ac:dyDescent="0.35">
      <c r="A11" s="243" t="s">
        <v>2345</v>
      </c>
      <c r="B11" s="243" t="s">
        <v>2356</v>
      </c>
    </row>
    <row r="12" spans="1:2" s="2" customFormat="1" x14ac:dyDescent="0.35">
      <c r="A12" s="243" t="s">
        <v>2344</v>
      </c>
      <c r="B12" s="243" t="s">
        <v>2363</v>
      </c>
    </row>
    <row r="13" spans="1:2" s="2" customFormat="1" x14ac:dyDescent="0.35">
      <c r="A13" s="243" t="s">
        <v>1993</v>
      </c>
      <c r="B13" s="243" t="s">
        <v>2356</v>
      </c>
    </row>
    <row r="14" spans="1:2" s="2" customFormat="1" x14ac:dyDescent="0.35">
      <c r="A14" s="243" t="s">
        <v>2364</v>
      </c>
      <c r="B14" s="243" t="s">
        <v>2365</v>
      </c>
    </row>
    <row r="15" spans="1:2" s="2" customFormat="1" x14ac:dyDescent="0.35">
      <c r="B15" s="6"/>
    </row>
    <row r="16" spans="1:2" s="2" customFormat="1" ht="16.5" x14ac:dyDescent="0.35">
      <c r="A16" s="31" t="s">
        <v>2366</v>
      </c>
      <c r="B16" s="6"/>
    </row>
    <row r="17" spans="1:15" s="2" customFormat="1" x14ac:dyDescent="0.35">
      <c r="A17" s="32" t="s">
        <v>2367</v>
      </c>
      <c r="B17" s="6"/>
    </row>
    <row r="18" spans="1:15" s="2" customFormat="1" x14ac:dyDescent="0.35">
      <c r="A18" s="31" t="s">
        <v>2368</v>
      </c>
      <c r="B18" s="6"/>
    </row>
    <row r="19" spans="1:15" s="2" customFormat="1" x14ac:dyDescent="0.35">
      <c r="A19" s="31" t="s">
        <v>2369</v>
      </c>
      <c r="B19" s="6"/>
    </row>
    <row r="20" spans="1:15" s="2" customFormat="1" ht="30.75" customHeight="1" x14ac:dyDescent="0.35">
      <c r="A20" s="1836" t="s">
        <v>2370</v>
      </c>
      <c r="B20" s="1836"/>
      <c r="C20" s="1836"/>
      <c r="D20" s="1836"/>
      <c r="E20" s="1836"/>
      <c r="F20" s="1836"/>
      <c r="G20" s="1836"/>
      <c r="H20" s="1836"/>
      <c r="I20" s="31"/>
      <c r="J20" s="31"/>
      <c r="K20" s="31"/>
      <c r="L20" s="31"/>
      <c r="M20" s="31"/>
      <c r="N20" s="31"/>
      <c r="O20" s="31"/>
    </row>
    <row r="21" spans="1:15" s="2" customFormat="1" x14ac:dyDescent="0.35">
      <c r="A21" s="31" t="s">
        <v>2371</v>
      </c>
      <c r="B21" s="6"/>
    </row>
    <row r="22" spans="1:15" s="2" customFormat="1" x14ac:dyDescent="0.35">
      <c r="A22" s="31" t="s">
        <v>2372</v>
      </c>
      <c r="B22" s="6"/>
    </row>
    <row r="23" spans="1:15" s="2" customFormat="1" x14ac:dyDescent="0.35">
      <c r="A23" s="31"/>
      <c r="B23" s="6"/>
    </row>
    <row r="24" spans="1:15" s="2" customFormat="1" x14ac:dyDescent="0.35">
      <c r="A24" s="32" t="s">
        <v>2373</v>
      </c>
      <c r="B24" s="6"/>
    </row>
    <row r="25" spans="1:15" s="2" customFormat="1" x14ac:dyDescent="0.35">
      <c r="A25" s="31" t="s">
        <v>2374</v>
      </c>
      <c r="B25" s="6"/>
    </row>
    <row r="26" spans="1:15" s="2" customFormat="1" ht="45" customHeight="1" x14ac:dyDescent="0.35">
      <c r="A26" s="1836" t="s">
        <v>2375</v>
      </c>
      <c r="B26" s="1836"/>
      <c r="C26" s="1836"/>
      <c r="D26" s="1836"/>
      <c r="E26" s="1836"/>
      <c r="F26" s="1836"/>
      <c r="G26" s="1836"/>
    </row>
    <row r="27" spans="1:15" s="2" customFormat="1" x14ac:dyDescent="0.35">
      <c r="A27" s="31" t="s">
        <v>2376</v>
      </c>
      <c r="B27" s="6"/>
    </row>
    <row r="28" spans="1:15" s="2" customFormat="1" x14ac:dyDescent="0.35">
      <c r="A28" s="31" t="s">
        <v>2377</v>
      </c>
      <c r="B28" s="6"/>
    </row>
    <row r="29" spans="1:15" x14ac:dyDescent="0.35">
      <c r="A29" s="31" t="s">
        <v>2378</v>
      </c>
    </row>
    <row r="30" spans="1:15" ht="45" customHeight="1" x14ac:dyDescent="0.35">
      <c r="A30" s="1836" t="s">
        <v>2379</v>
      </c>
      <c r="B30" s="1836"/>
      <c r="C30" s="1836"/>
      <c r="D30" s="1836"/>
      <c r="E30" s="1836"/>
      <c r="F30" s="1836"/>
      <c r="G30" s="1836"/>
      <c r="H30" s="1836"/>
    </row>
    <row r="31" spans="1:15" x14ac:dyDescent="0.35">
      <c r="A31" s="31"/>
    </row>
    <row r="32" spans="1:15" x14ac:dyDescent="0.35">
      <c r="A32" s="32" t="s">
        <v>2380</v>
      </c>
    </row>
    <row r="33" spans="1:8" ht="30" customHeight="1" x14ac:dyDescent="0.35">
      <c r="A33" s="1836" t="s">
        <v>2381</v>
      </c>
      <c r="B33" s="1836"/>
      <c r="C33" s="1836"/>
      <c r="D33" s="1836"/>
      <c r="E33" s="1836"/>
      <c r="F33" s="1836"/>
      <c r="G33" s="1836"/>
      <c r="H33" s="1836"/>
    </row>
    <row r="34" spans="1:8" x14ac:dyDescent="0.35">
      <c r="A34" s="31"/>
    </row>
    <row r="35" spans="1:8" x14ac:dyDescent="0.35">
      <c r="A35" s="32" t="s">
        <v>2382</v>
      </c>
    </row>
    <row r="36" spans="1:8" ht="33.75" customHeight="1" x14ac:dyDescent="0.35">
      <c r="A36" s="1836" t="s">
        <v>2383</v>
      </c>
      <c r="B36" s="1836"/>
      <c r="C36" s="1836"/>
      <c r="D36" s="1836"/>
      <c r="E36" s="1836"/>
      <c r="F36" s="1836"/>
      <c r="G36" s="1836"/>
      <c r="H36" s="1836"/>
    </row>
    <row r="37" spans="1:8" x14ac:dyDescent="0.35">
      <c r="A37" s="31"/>
      <c r="D37" s="1"/>
    </row>
    <row r="38" spans="1:8" x14ac:dyDescent="0.35">
      <c r="A38" s="32" t="s">
        <v>2384</v>
      </c>
    </row>
    <row r="39" spans="1:8" ht="30" customHeight="1" x14ac:dyDescent="0.35">
      <c r="A39" s="1836" t="s">
        <v>2385</v>
      </c>
      <c r="B39" s="1836"/>
      <c r="C39" s="1836"/>
      <c r="D39" s="1836"/>
      <c r="E39" s="1836"/>
      <c r="F39" s="1836"/>
      <c r="G39" s="1836"/>
      <c r="H39" s="1836"/>
    </row>
    <row r="40" spans="1:8" x14ac:dyDescent="0.35">
      <c r="A40" s="31"/>
    </row>
    <row r="41" spans="1:8" x14ac:dyDescent="0.35">
      <c r="A41" s="32" t="s">
        <v>2386</v>
      </c>
    </row>
    <row r="42" spans="1:8" ht="45" customHeight="1" x14ac:dyDescent="0.35">
      <c r="A42" s="1836" t="s">
        <v>2387</v>
      </c>
      <c r="B42" s="1836"/>
      <c r="C42" s="1836"/>
      <c r="D42" s="1836"/>
      <c r="E42" s="1836"/>
      <c r="F42" s="1836"/>
      <c r="G42" s="1836"/>
      <c r="H42" s="1836"/>
    </row>
    <row r="43" spans="1:8" x14ac:dyDescent="0.35">
      <c r="A43" s="31"/>
    </row>
    <row r="44" spans="1:8" x14ac:dyDescent="0.35">
      <c r="A44" s="32" t="s">
        <v>2388</v>
      </c>
    </row>
    <row r="45" spans="1:8" ht="30" customHeight="1" x14ac:dyDescent="0.35">
      <c r="A45" s="1836" t="s">
        <v>2389</v>
      </c>
      <c r="B45" s="1836"/>
      <c r="C45" s="1836"/>
      <c r="D45" s="1836"/>
      <c r="E45" s="1836"/>
      <c r="F45" s="1836"/>
      <c r="G45" s="1836"/>
      <c r="H45" s="1836"/>
    </row>
    <row r="46" spans="1:8" x14ac:dyDescent="0.35">
      <c r="A46" s="31" t="s">
        <v>2390</v>
      </c>
    </row>
    <row r="47" spans="1:8" x14ac:dyDescent="0.35">
      <c r="A47" s="31" t="s">
        <v>2391</v>
      </c>
    </row>
    <row r="48" spans="1:8" x14ac:dyDescent="0.35">
      <c r="A48" s="31" t="s">
        <v>2392</v>
      </c>
    </row>
    <row r="49" spans="1:8" x14ac:dyDescent="0.35">
      <c r="A49" s="31" t="s">
        <v>2393</v>
      </c>
    </row>
    <row r="50" spans="1:8" x14ac:dyDescent="0.35">
      <c r="A50" s="31" t="s">
        <v>2394</v>
      </c>
    </row>
    <row r="51" spans="1:8" x14ac:dyDescent="0.35">
      <c r="A51" s="31"/>
    </row>
    <row r="52" spans="1:8" x14ac:dyDescent="0.35">
      <c r="A52" s="32" t="s">
        <v>2395</v>
      </c>
    </row>
    <row r="53" spans="1:8" ht="30" customHeight="1" x14ac:dyDescent="0.35">
      <c r="A53" s="1836" t="s">
        <v>2396</v>
      </c>
      <c r="B53" s="1836"/>
      <c r="C53" s="1836"/>
      <c r="D53" s="1836"/>
      <c r="E53" s="1836"/>
      <c r="F53" s="1836"/>
      <c r="G53" s="1836"/>
      <c r="H53" s="1836"/>
    </row>
    <row r="54" spans="1:8" x14ac:dyDescent="0.35">
      <c r="A54" s="31" t="s">
        <v>2397</v>
      </c>
    </row>
    <row r="55" spans="1:8" x14ac:dyDescent="0.35">
      <c r="A55" s="31" t="s">
        <v>2398</v>
      </c>
    </row>
    <row r="56" spans="1:8" x14ac:dyDescent="0.35">
      <c r="A56" s="31" t="s">
        <v>2399</v>
      </c>
    </row>
    <row r="57" spans="1:8" x14ac:dyDescent="0.35">
      <c r="A57" s="31"/>
    </row>
    <row r="58" spans="1:8" x14ac:dyDescent="0.35">
      <c r="A58" s="32" t="s">
        <v>2400</v>
      </c>
    </row>
    <row r="59" spans="1:8" x14ac:dyDescent="0.35">
      <c r="A59" s="31" t="s">
        <v>2401</v>
      </c>
    </row>
    <row r="60" spans="1:8" x14ac:dyDescent="0.35">
      <c r="A60" s="31"/>
    </row>
    <row r="61" spans="1:8" x14ac:dyDescent="0.35">
      <c r="A61" s="32" t="s">
        <v>2402</v>
      </c>
    </row>
    <row r="62" spans="1:8" ht="30" customHeight="1" x14ac:dyDescent="0.35">
      <c r="A62" s="1836" t="s">
        <v>2403</v>
      </c>
      <c r="B62" s="1836"/>
      <c r="C62" s="1836"/>
      <c r="D62" s="1836"/>
      <c r="E62" s="1836"/>
      <c r="F62" s="1836"/>
      <c r="G62" s="1836"/>
      <c r="H62" s="1836"/>
    </row>
    <row r="63" spans="1:8" x14ac:dyDescent="0.35">
      <c r="A63" s="31" t="s">
        <v>2404</v>
      </c>
    </row>
    <row r="64" spans="1:8" ht="78" customHeight="1" x14ac:dyDescent="0.35">
      <c r="A64" s="1836" t="s">
        <v>2405</v>
      </c>
      <c r="B64" s="1836"/>
      <c r="C64" s="1836"/>
      <c r="D64" s="1836"/>
      <c r="E64" s="1836"/>
      <c r="F64" s="1836"/>
      <c r="G64" s="1836"/>
      <c r="H64" s="1836"/>
    </row>
    <row r="65" spans="1:8" ht="14.25" customHeight="1" x14ac:dyDescent="0.35">
      <c r="A65" s="21"/>
      <c r="B65" s="21"/>
      <c r="C65" s="21"/>
      <c r="D65" s="21"/>
      <c r="E65" s="21"/>
      <c r="F65" s="21"/>
      <c r="G65" s="21"/>
      <c r="H65" s="21"/>
    </row>
    <row r="66" spans="1:8" x14ac:dyDescent="0.35">
      <c r="A66" s="32" t="s">
        <v>2324</v>
      </c>
    </row>
    <row r="67" spans="1:8" x14ac:dyDescent="0.35">
      <c r="A67" s="31" t="s">
        <v>2406</v>
      </c>
    </row>
    <row r="68" spans="1:8" x14ac:dyDescent="0.35">
      <c r="A68" s="31" t="s">
        <v>2407</v>
      </c>
    </row>
    <row r="69" spans="1:8" ht="45" customHeight="1" x14ac:dyDescent="0.35">
      <c r="A69" s="1836" t="s">
        <v>2408</v>
      </c>
      <c r="B69" s="1836"/>
      <c r="C69" s="1836"/>
      <c r="D69" s="1836"/>
      <c r="E69" s="1836"/>
      <c r="F69" s="1836"/>
      <c r="G69" s="1836"/>
      <c r="H69" s="1836"/>
    </row>
    <row r="70" spans="1:8" x14ac:dyDescent="0.35">
      <c r="A70" s="31" t="s">
        <v>2409</v>
      </c>
    </row>
    <row r="71" spans="1:8" x14ac:dyDescent="0.35">
      <c r="A71" s="31" t="s">
        <v>2410</v>
      </c>
    </row>
    <row r="88" ht="14.25" customHeight="1" x14ac:dyDescent="0.35"/>
  </sheetData>
  <mergeCells count="13">
    <mergeCell ref="A36:H36"/>
    <mergeCell ref="A1:B1"/>
    <mergeCell ref="A20:H20"/>
    <mergeCell ref="A26:G26"/>
    <mergeCell ref="A30:H30"/>
    <mergeCell ref="A33:H33"/>
    <mergeCell ref="A69:H69"/>
    <mergeCell ref="A39:H39"/>
    <mergeCell ref="A42:H42"/>
    <mergeCell ref="A45:H45"/>
    <mergeCell ref="A53:H53"/>
    <mergeCell ref="A62:H62"/>
    <mergeCell ref="A64:H64"/>
  </mergeCells>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C4A5-B91F-4548-A9DF-435CC3184FE8}">
  <sheetPr codeName="Sheet9">
    <tabColor theme="4" tint="0.79998168889431442"/>
  </sheetPr>
  <dimension ref="A1:A9"/>
  <sheetViews>
    <sheetView workbookViewId="0">
      <selection activeCell="A2" sqref="A2"/>
    </sheetView>
  </sheetViews>
  <sheetFormatPr defaultRowHeight="14.5" x14ac:dyDescent="0.35"/>
  <cols>
    <col min="1" max="1" width="109.81640625" customWidth="1"/>
  </cols>
  <sheetData>
    <row r="1" spans="1:1" ht="18.5" x14ac:dyDescent="0.45">
      <c r="A1" s="33" t="s">
        <v>2411</v>
      </c>
    </row>
    <row r="2" spans="1:1" ht="60" x14ac:dyDescent="0.35">
      <c r="A2" s="1" t="s">
        <v>2476</v>
      </c>
    </row>
    <row r="3" spans="1:1" x14ac:dyDescent="0.35">
      <c r="A3" s="1"/>
    </row>
    <row r="4" spans="1:1" ht="16.5" x14ac:dyDescent="0.35">
      <c r="A4" s="1" t="s">
        <v>2412</v>
      </c>
    </row>
    <row r="5" spans="1:1" x14ac:dyDescent="0.35">
      <c r="A5" s="1" t="s">
        <v>39</v>
      </c>
    </row>
    <row r="6" spans="1:1" ht="31" x14ac:dyDescent="0.35">
      <c r="A6" s="1" t="s">
        <v>2413</v>
      </c>
    </row>
    <row r="7" spans="1:1" ht="16.5" x14ac:dyDescent="0.35">
      <c r="A7" s="1" t="s">
        <v>2414</v>
      </c>
    </row>
    <row r="9" spans="1:1" ht="64.5" customHeight="1" x14ac:dyDescent="0.3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6145" r:id="rId4">
          <objectPr defaultSize="0" r:id="rId5">
            <anchor moveWithCells="1">
              <from>
                <xdr:col>0</xdr:col>
                <xdr:colOff>571500</xdr:colOff>
                <xdr:row>8</xdr:row>
                <xdr:rowOff>101600</xdr:rowOff>
              </from>
              <to>
                <xdr:col>0</xdr:col>
                <xdr:colOff>1485900</xdr:colOff>
                <xdr:row>8</xdr:row>
                <xdr:rowOff>787400</xdr:rowOff>
              </to>
            </anchor>
          </objectPr>
        </oleObject>
      </mc:Choice>
      <mc:Fallback>
        <oleObject progId="Acrobat Document" dvAspect="DVASPECT_ICON"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A906-C8E5-45F8-BA8C-BBD23DDFD88C}">
  <sheetPr codeName="Sheet10">
    <tabColor theme="4" tint="0.79998168889431442"/>
    <pageSetUpPr fitToPage="1"/>
  </sheetPr>
  <dimension ref="A1:B7"/>
  <sheetViews>
    <sheetView workbookViewId="0">
      <selection activeCell="B10" sqref="B10"/>
    </sheetView>
  </sheetViews>
  <sheetFormatPr defaultRowHeight="14.5" x14ac:dyDescent="0.35"/>
  <cols>
    <col min="1" max="1" width="14.81640625" style="1" customWidth="1"/>
    <col min="2" max="2" width="93.1796875" style="1" customWidth="1"/>
  </cols>
  <sheetData>
    <row r="1" spans="1:2" ht="24.75" customHeight="1" x14ac:dyDescent="0.45">
      <c r="A1" s="1838" t="s">
        <v>2415</v>
      </c>
      <c r="B1" s="1838"/>
    </row>
    <row r="2" spans="1:2" x14ac:dyDescent="0.35">
      <c r="A2" s="235" t="s">
        <v>2416</v>
      </c>
      <c r="B2" s="235" t="s">
        <v>2417</v>
      </c>
    </row>
    <row r="3" spans="1:2" ht="36.75" customHeight="1" x14ac:dyDescent="0.35">
      <c r="A3" s="235" t="s">
        <v>2418</v>
      </c>
      <c r="B3" s="235" t="s">
        <v>2419</v>
      </c>
    </row>
    <row r="4" spans="1:2" ht="63" customHeight="1" x14ac:dyDescent="0.35">
      <c r="A4" s="235" t="s">
        <v>2420</v>
      </c>
      <c r="B4" s="235" t="s">
        <v>2421</v>
      </c>
    </row>
    <row r="5" spans="1:2" ht="72.5" x14ac:dyDescent="0.35">
      <c r="A5" s="235" t="s">
        <v>2422</v>
      </c>
      <c r="B5" s="235" t="s">
        <v>2423</v>
      </c>
    </row>
    <row r="6" spans="1:2" ht="58" x14ac:dyDescent="0.35">
      <c r="A6" s="235" t="s">
        <v>2424</v>
      </c>
      <c r="B6" s="235" t="s">
        <v>2425</v>
      </c>
    </row>
    <row r="7" spans="1:2" ht="116" x14ac:dyDescent="0.35">
      <c r="A7" s="235" t="s">
        <v>2426</v>
      </c>
      <c r="B7" s="235" t="s">
        <v>2427</v>
      </c>
    </row>
  </sheetData>
  <mergeCells count="1">
    <mergeCell ref="A1:B1"/>
  </mergeCells>
  <pageMargins left="0.7" right="0.7" top="0.75" bottom="0.75" header="0.3" footer="0.3"/>
  <pageSetup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57AD814C61144DB845D2D4EED7C33E" ma:contentTypeVersion="10" ma:contentTypeDescription="Create a new document." ma:contentTypeScope="" ma:versionID="11b32fd93fe9a612a343a1c3f101cb3b">
  <xsd:schema xmlns:xsd="http://www.w3.org/2001/XMLSchema" xmlns:xs="http://www.w3.org/2001/XMLSchema" xmlns:p="http://schemas.microsoft.com/office/2006/metadata/properties" xmlns:ns2="1f1d4071-c7e1-4368-869a-3c614ebf9084" xmlns:ns3="fca01274-4398-4551-9418-935eb64abc20" targetNamespace="http://schemas.microsoft.com/office/2006/metadata/properties" ma:root="true" ma:fieldsID="f4d4bd371eb6134b78f9d462d7bb779f" ns2:_="" ns3:_="">
    <xsd:import namespace="1f1d4071-c7e1-4368-869a-3c614ebf9084"/>
    <xsd:import namespace="fca01274-4398-4551-9418-935eb64abc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d4071-c7e1-4368-869a-3c614ebf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a01274-4398-4551-9418-935eb64abc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DE699-CD0B-4E0F-971D-5650F858F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d4071-c7e1-4368-869a-3c614ebf9084"/>
    <ds:schemaRef ds:uri="fca01274-4398-4551-9418-935eb64ab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0A07E-E0E7-40C1-98E6-B1004F00A3FE}">
  <ds:schemaRefs>
    <ds:schemaRef ds:uri="http://schemas.microsoft.com/office/2006/documentManagement/types"/>
    <ds:schemaRef ds:uri="fca01274-4398-4551-9418-935eb64abc20"/>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1f1d4071-c7e1-4368-869a-3c614ebf9084"/>
    <ds:schemaRef ds:uri="http://www.w3.org/XML/1998/namespace"/>
    <ds:schemaRef ds:uri="http://purl.org/dc/dcmitype/"/>
  </ds:schemaRefs>
</ds:datastoreItem>
</file>

<file path=customXml/itemProps3.xml><?xml version="1.0" encoding="utf-8"?>
<ds:datastoreItem xmlns:ds="http://schemas.openxmlformats.org/officeDocument/2006/customXml" ds:itemID="{8C7CED3C-0401-417A-BA34-54D94C96F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PUC Calculations FY2024</vt:lpstr>
      <vt:lpstr>FY2024 MILCON Inflation Table</vt:lpstr>
      <vt:lpstr>Mil Cost Premiums for PUCs</vt:lpstr>
      <vt:lpstr>M&amp;S Selection Business Rule</vt:lpstr>
      <vt:lpstr>FY2024 Elevator Rule</vt:lpstr>
      <vt:lpstr>FY2024 Overhead Crane Rule</vt:lpstr>
      <vt:lpstr>FY2024 Fire Sprinkler Rule</vt:lpstr>
      <vt:lpstr>Loading Dock Footnote</vt:lpstr>
      <vt:lpstr>Range Business Rules</vt:lpstr>
      <vt:lpstr>'M&amp;S Selection Business Rule'!_ftn1</vt:lpstr>
      <vt:lpstr>'M&amp;S Selection Business Rule'!_ftn2</vt:lpstr>
      <vt:lpstr>'M&amp;S Selection Business Rule'!_ftnref1</vt:lpstr>
      <vt:lpstr>'M&amp;S Selection Business Rule'!_ftnref2</vt:lpstr>
      <vt:lpstr>'FY2024 MILCON Inflation Table'!Print_Area</vt:lpstr>
      <vt:lpstr>'Mil Cost Premiums for PUCs'!Print_Area</vt:lpstr>
      <vt:lpstr>'PUC Calculations FY2024'!Print_Area</vt:lpstr>
      <vt:lpstr>'FY2024 Elevator Rule'!Print_Titles</vt:lpstr>
      <vt:lpstr>'Mil Cost Premiums for PUCs'!PRV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Calese</dc:creator>
  <cp:keywords/>
  <dc:description/>
  <cp:lastModifiedBy>Kennedy, Ashley L CIV USN NAVFAC LANT NOR VA (USA)</cp:lastModifiedBy>
  <cp:revision/>
  <cp:lastPrinted>2022-07-01T16:30:33Z</cp:lastPrinted>
  <dcterms:created xsi:type="dcterms:W3CDTF">2018-07-06T18:00:32Z</dcterms:created>
  <dcterms:modified xsi:type="dcterms:W3CDTF">2024-09-09T18:12:12Z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0x010100CB57AD814C61144DB845D2D4EED7C33E</vt:lpwstr>
  </property>
</Properties>
</file>